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codeName="{C026B480-071E-DA80-A48C-D3F380F32C35}"/>
  <workbookPr updateLinks="never" codeName="ThisWorkbook" defaultThemeVersion="166925"/>
  <mc:AlternateContent xmlns:mc="http://schemas.openxmlformats.org/markup-compatibility/2006">
    <mc:Choice Requires="x15">
      <x15ac:absPath xmlns:x15ac="http://schemas.microsoft.com/office/spreadsheetml/2010/11/ac" url="C:\S\DocumentLibrary2\Issued\Word Docs\Instructions for Use\AlloSeq Tx\"/>
    </mc:Choice>
  </mc:AlternateContent>
  <xr:revisionPtr revIDLastSave="0" documentId="13_ncr:1_{23C7AFC2-E36C-493A-B538-AAC09C741711}" xr6:coauthVersionLast="47" xr6:coauthVersionMax="47" xr10:uidLastSave="{00000000-0000-0000-0000-000000000000}"/>
  <bookViews>
    <workbookView xWindow="-20280" yWindow="480" windowWidth="16140" windowHeight="11910" tabRatio="835" xr2:uid="{00000000-000D-0000-FFFF-FFFF00000000}"/>
  </bookViews>
  <sheets>
    <sheet name="CE Cover" sheetId="20" r:id="rId1"/>
    <sheet name="DropDowns" sheetId="10" state="hidden" r:id="rId2"/>
    <sheet name="IndexLayout" sheetId="36" state="hidden" r:id="rId3"/>
    <sheet name="0.1 Import" sheetId="31" r:id="rId4"/>
    <sheet name="1.0 Sample_Prep" sheetId="2" r:id="rId5"/>
    <sheet name="1.1 LinearView" sheetId="22" r:id="rId6"/>
    <sheet name="1.2 SampleSheet" sheetId="14" r:id="rId7"/>
    <sheet name="2.0 Library_Prep" sheetId="6" r:id="rId8"/>
    <sheet name="3.0 SS_Purification" sheetId="5" r:id="rId9"/>
    <sheet name="4.0 Hybridisation" sheetId="35" r:id="rId10"/>
    <sheet name="5.0 Capture" sheetId="24" r:id="rId11"/>
    <sheet name="6.0 Enrich_PCR" sheetId="25" r:id="rId12"/>
    <sheet name="7.0 Purification" sheetId="26" r:id="rId13"/>
    <sheet name="8.0 Qubit" sheetId="27" r:id="rId14"/>
    <sheet name="9.0 TapeStation(Optional)" sheetId="28" r:id="rId15"/>
    <sheet name="10.0 PhiX" sheetId="37" r:id="rId16"/>
    <sheet name="10.1 MiSeq" sheetId="38" state="hidden" r:id="rId17"/>
    <sheet name="10.2 MiniSeq" sheetId="39" state="hidden" r:id="rId18"/>
    <sheet name="10.3 iSeq" sheetId="40" state="hidden" r:id="rId19"/>
    <sheet name="VersionHistory" sheetId="29" r:id="rId20"/>
    <sheet name="WorkbookVerification" sheetId="32" state="hidden" r:id="rId21"/>
  </sheets>
  <externalReferences>
    <externalReference r:id="rId22"/>
  </externalReferences>
  <definedNames>
    <definedName name="Kit">[1]DropDowns!$K$2:$K$3</definedName>
    <definedName name="Kits">DropDowns!$K$2:$K$3</definedName>
    <definedName name="_xlnm.Print_Area" localSheetId="4">'1.0 Sample_Prep'!$A$1:$S$33</definedName>
    <definedName name="_xlnm.Print_Area" localSheetId="5">'1.1 LinearView'!$A$1:$M$105</definedName>
    <definedName name="_xlnm.Print_Area" localSheetId="6">'1.2 SampleSheet'!$A$1:$J$117</definedName>
    <definedName name="_xlnm.Print_Area" localSheetId="15">'10.0 PhiX'!$A:$L</definedName>
    <definedName name="_xlnm.Print_Area" localSheetId="16">'10.1 MiSeq'!$A$1:$M$87</definedName>
    <definedName name="_xlnm.Print_Area" localSheetId="17">'10.2 MiniSeq'!$A$1:$M$90</definedName>
    <definedName name="_xlnm.Print_Area" localSheetId="18">'10.3 iSeq'!$A$1:$M$65</definedName>
    <definedName name="_xlnm.Print_Area" localSheetId="7">'2.0 Library_Prep'!$A$1:$L$126</definedName>
    <definedName name="_xlnm.Print_Area" localSheetId="8">'3.0 SS_Purification'!$A$1:$L$80</definedName>
    <definedName name="_xlnm.Print_Area" localSheetId="10">'5.0 Capture'!$A$1:$M$76</definedName>
    <definedName name="_xlnm.Print_Area" localSheetId="11">'6.0 Enrich_PCR'!$A$1:$L$46</definedName>
    <definedName name="_xlnm.Print_Area" localSheetId="12">'7.0 Purification'!$A$1:$L$56</definedName>
    <definedName name="_xlnm.Print_Area" localSheetId="13">'8.0 Qubit'!$A$1:$L$55</definedName>
    <definedName name="_xlnm.Print_Area" localSheetId="14">'9.0 TapeStation(Optional)'!$A$1:$L$45</definedName>
    <definedName name="_xlnm.Print_Area" localSheetId="0">'CE Cover'!$A$4:$K$43</definedName>
    <definedName name="_xlnm.Print_Area" localSheetId="19">VersionHistory!$A$1:$C$8</definedName>
    <definedName name="_xlnm.Print_Area" localSheetId="20">WorkbookVerification!$A$1:$K$297</definedName>
    <definedName name="_xlnm.Print_Titles" localSheetId="5">'1.1 LinearView'!$7:$7</definedName>
    <definedName name="_xlnm.Print_Titles" localSheetId="19">VersionHistory!$1:$1</definedName>
    <definedName name="_xlnm.Print_Titles" localSheetId="20">WorkbookVerification!$41:$41</definedName>
    <definedName name="Vyberte">'1.0 Sample_Prep'!$E$23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26" l="1"/>
  <c r="F50" i="24"/>
  <c r="E66" i="5"/>
  <c r="D56" i="5"/>
  <c r="D55" i="5"/>
  <c r="D50" i="5"/>
  <c r="D49" i="5"/>
  <c r="F72" i="6"/>
  <c r="E46" i="6"/>
  <c r="E18" i="6"/>
  <c r="E45" i="6"/>
  <c r="J44" i="27"/>
  <c r="J45" i="27"/>
  <c r="J46" i="27"/>
  <c r="J47" i="27"/>
  <c r="J48" i="27"/>
  <c r="J49" i="27"/>
  <c r="J50" i="27"/>
  <c r="J43" i="27"/>
  <c r="J26" i="5"/>
  <c r="I14" i="40" l="1"/>
  <c r="H26" i="40"/>
  <c r="H34" i="40" s="1"/>
  <c r="H52" i="40"/>
  <c r="H53" i="40"/>
  <c r="H54" i="40"/>
  <c r="H55" i="40"/>
  <c r="H56" i="40"/>
  <c r="H57" i="40"/>
  <c r="H58" i="40"/>
  <c r="I13" i="39"/>
  <c r="I14" i="39"/>
  <c r="H36" i="39"/>
  <c r="H44" i="39" s="1"/>
  <c r="H75" i="39"/>
  <c r="H76" i="39"/>
  <c r="H77" i="39"/>
  <c r="H78" i="39"/>
  <c r="H79" i="39"/>
  <c r="I18" i="39" s="1"/>
  <c r="H80" i="39"/>
  <c r="I15" i="39" s="1"/>
  <c r="I13" i="38"/>
  <c r="I14" i="38"/>
  <c r="H35" i="38"/>
  <c r="H43" i="38" s="1"/>
  <c r="H72" i="38"/>
  <c r="H77" i="38" s="1"/>
  <c r="I15" i="38" s="1"/>
  <c r="H73" i="38"/>
  <c r="H74" i="38"/>
  <c r="H75" i="38"/>
  <c r="H76" i="38"/>
  <c r="I17" i="38" s="1"/>
  <c r="H49" i="37"/>
  <c r="H50" i="37" s="1"/>
  <c r="H67" i="37"/>
  <c r="H68" i="37" s="1"/>
  <c r="H69" i="37" s="1"/>
  <c r="I12" i="40" l="1"/>
  <c r="H33" i="40"/>
  <c r="H43" i="39"/>
  <c r="I12" i="39"/>
  <c r="H81" i="39"/>
  <c r="I12" i="38"/>
  <c r="H42" i="38"/>
  <c r="H78" i="38"/>
  <c r="I15" i="37"/>
  <c r="H51" i="37"/>
  <c r="I13" i="40" l="1"/>
  <c r="H35" i="40"/>
  <c r="I16" i="39"/>
  <c r="H45" i="39"/>
  <c r="H44" i="38"/>
  <c r="I16" i="38"/>
  <c r="V8" i="36" l="1"/>
  <c r="R23" i="2" l="1"/>
  <c r="Q23" i="2"/>
  <c r="P23" i="2"/>
  <c r="O23" i="2"/>
  <c r="N23" i="2"/>
  <c r="M23" i="2"/>
  <c r="L23" i="2"/>
  <c r="K23" i="2"/>
  <c r="J23" i="2"/>
  <c r="I23" i="2"/>
  <c r="H23" i="2"/>
  <c r="G23" i="2"/>
  <c r="F31" i="2"/>
  <c r="F30" i="2"/>
  <c r="F29" i="2"/>
  <c r="F28" i="2"/>
  <c r="F27" i="2"/>
  <c r="F26" i="2"/>
  <c r="F25" i="2"/>
  <c r="F24" i="2"/>
  <c r="V3" i="36"/>
  <c r="V4" i="36"/>
  <c r="V5" i="36"/>
  <c r="V6" i="36"/>
  <c r="V7" i="36"/>
  <c r="E7" i="2" l="1"/>
  <c r="K13" i="5" s="1"/>
  <c r="K14" i="5" s="1"/>
  <c r="D8" i="22"/>
  <c r="A22" i="14" s="1"/>
  <c r="G31" i="35"/>
  <c r="F3" i="35"/>
  <c r="K17" i="5" l="1"/>
  <c r="J8" i="22"/>
  <c r="K8" i="22" s="1"/>
  <c r="L8" i="22"/>
  <c r="G8" i="22"/>
  <c r="H8" i="22"/>
  <c r="I8" i="22" s="1"/>
  <c r="E8" i="22"/>
  <c r="F8" i="22"/>
  <c r="F3" i="28"/>
  <c r="F3" i="27"/>
  <c r="F3" i="26"/>
  <c r="F3" i="25"/>
  <c r="F3" i="24"/>
  <c r="G21" i="26"/>
  <c r="K16" i="5" l="1"/>
  <c r="K15" i="5"/>
  <c r="K22" i="5"/>
  <c r="I29" i="5"/>
  <c r="F3" i="22"/>
  <c r="G31" i="5" l="1"/>
  <c r="D69" i="22"/>
  <c r="D97" i="22"/>
  <c r="D98" i="22"/>
  <c r="D99" i="22"/>
  <c r="D100" i="22"/>
  <c r="D101" i="22"/>
  <c r="D102" i="22"/>
  <c r="D103" i="22"/>
  <c r="D96" i="22"/>
  <c r="D89" i="22"/>
  <c r="D90" i="22"/>
  <c r="L90" i="22" s="1"/>
  <c r="D91" i="22"/>
  <c r="D92" i="22"/>
  <c r="D93" i="22"/>
  <c r="D94" i="22"/>
  <c r="D95" i="22"/>
  <c r="D88" i="22"/>
  <c r="D81" i="22"/>
  <c r="D82" i="22"/>
  <c r="D83" i="22"/>
  <c r="D84" i="22"/>
  <c r="D85" i="22"/>
  <c r="D86" i="22"/>
  <c r="D87" i="22"/>
  <c r="D80" i="22"/>
  <c r="D73" i="22"/>
  <c r="D74" i="22"/>
  <c r="D75" i="22"/>
  <c r="D76" i="22"/>
  <c r="D77" i="22"/>
  <c r="D78" i="22"/>
  <c r="D79" i="22"/>
  <c r="D72" i="22"/>
  <c r="D65" i="22"/>
  <c r="D66" i="22"/>
  <c r="D67" i="22"/>
  <c r="D68" i="22"/>
  <c r="L69" i="22"/>
  <c r="D70" i="22"/>
  <c r="D71" i="22"/>
  <c r="D64" i="22"/>
  <c r="D57" i="22"/>
  <c r="D58" i="22"/>
  <c r="D59" i="22"/>
  <c r="D60" i="22"/>
  <c r="D61" i="22"/>
  <c r="D62" i="22"/>
  <c r="D63" i="22"/>
  <c r="D56" i="22"/>
  <c r="D49" i="22"/>
  <c r="D50" i="22"/>
  <c r="D51" i="22"/>
  <c r="D52" i="22"/>
  <c r="D53" i="22"/>
  <c r="D54" i="22"/>
  <c r="D55" i="22"/>
  <c r="D48" i="22"/>
  <c r="D41" i="22"/>
  <c r="D42" i="22"/>
  <c r="D43" i="22"/>
  <c r="D44" i="22"/>
  <c r="D45" i="22"/>
  <c r="D46" i="22"/>
  <c r="D47" i="22"/>
  <c r="D40" i="22"/>
  <c r="D33" i="22"/>
  <c r="D34" i="22"/>
  <c r="D35" i="22"/>
  <c r="D36" i="22"/>
  <c r="D37" i="22"/>
  <c r="D38" i="22"/>
  <c r="D39" i="22"/>
  <c r="D32" i="22"/>
  <c r="D25" i="22"/>
  <c r="D26" i="22"/>
  <c r="D27" i="22"/>
  <c r="D28" i="22"/>
  <c r="D29" i="22"/>
  <c r="D30" i="22"/>
  <c r="D31" i="22"/>
  <c r="D24" i="22"/>
  <c r="D17" i="22"/>
  <c r="D18" i="22"/>
  <c r="D19" i="22"/>
  <c r="D20" i="22"/>
  <c r="D21" i="22"/>
  <c r="D22" i="22"/>
  <c r="D23" i="22"/>
  <c r="D16" i="22"/>
  <c r="D9" i="22"/>
  <c r="D10" i="22"/>
  <c r="D11" i="22"/>
  <c r="D12" i="22"/>
  <c r="D13" i="22"/>
  <c r="D14" i="22"/>
  <c r="D15" i="22"/>
  <c r="G30" i="5" l="1"/>
  <c r="I83" i="14"/>
  <c r="J83" i="14"/>
  <c r="I104" i="14"/>
  <c r="J104" i="14"/>
  <c r="J49" i="22"/>
  <c r="A63" i="14"/>
  <c r="B63" i="14" s="1"/>
  <c r="A33" i="14"/>
  <c r="B33" i="14" s="1"/>
  <c r="J19" i="22"/>
  <c r="J32" i="22"/>
  <c r="A46" i="14"/>
  <c r="B46" i="14" s="1"/>
  <c r="A58" i="14"/>
  <c r="B58" i="14" s="1"/>
  <c r="J44" i="22"/>
  <c r="J56" i="22"/>
  <c r="A70" i="14"/>
  <c r="B70" i="14" s="1"/>
  <c r="J68" i="22"/>
  <c r="A82" i="14"/>
  <c r="B82" i="14" s="1"/>
  <c r="J80" i="22"/>
  <c r="A94" i="14"/>
  <c r="B94" i="14" s="1"/>
  <c r="A106" i="14"/>
  <c r="B106" i="14" s="1"/>
  <c r="J92" i="22"/>
  <c r="J69" i="22"/>
  <c r="A83" i="14"/>
  <c r="B83" i="14" s="1"/>
  <c r="J20" i="22"/>
  <c r="A34" i="14"/>
  <c r="B34" i="14" s="1"/>
  <c r="J43" i="22"/>
  <c r="A57" i="14"/>
  <c r="B57" i="14" s="1"/>
  <c r="A77" i="14"/>
  <c r="B77" i="14" s="1"/>
  <c r="J63" i="22"/>
  <c r="A81" i="14"/>
  <c r="B81" i="14" s="1"/>
  <c r="J67" i="22"/>
  <c r="A101" i="14"/>
  <c r="B101" i="14" s="1"/>
  <c r="J87" i="22"/>
  <c r="J91" i="22"/>
  <c r="A105" i="14"/>
  <c r="B105" i="14" s="1"/>
  <c r="A39" i="14"/>
  <c r="B39" i="14" s="1"/>
  <c r="J25" i="22"/>
  <c r="J15" i="22"/>
  <c r="A29" i="14"/>
  <c r="B29" i="14" s="1"/>
  <c r="J13" i="22"/>
  <c r="A27" i="14"/>
  <c r="B27" i="14" s="1"/>
  <c r="A31" i="14"/>
  <c r="B31" i="14" s="1"/>
  <c r="J17" i="22"/>
  <c r="A52" i="14"/>
  <c r="B52" i="14" s="1"/>
  <c r="J38" i="22"/>
  <c r="J42" i="22"/>
  <c r="A56" i="14"/>
  <c r="B56" i="14" s="1"/>
  <c r="A76" i="14"/>
  <c r="B76" i="14" s="1"/>
  <c r="J62" i="22"/>
  <c r="A80" i="14"/>
  <c r="B80" i="14" s="1"/>
  <c r="J66" i="22"/>
  <c r="A100" i="14"/>
  <c r="B100" i="14" s="1"/>
  <c r="J86" i="22"/>
  <c r="J90" i="22"/>
  <c r="K90" i="22" s="1"/>
  <c r="A104" i="14"/>
  <c r="B104" i="14" s="1"/>
  <c r="A51" i="14"/>
  <c r="B51" i="14" s="1"/>
  <c r="J37" i="22"/>
  <c r="A55" i="14"/>
  <c r="B55" i="14" s="1"/>
  <c r="J41" i="22"/>
  <c r="J61" i="22"/>
  <c r="A75" i="14"/>
  <c r="B75" i="14" s="1"/>
  <c r="A79" i="14"/>
  <c r="B79" i="14" s="1"/>
  <c r="J65" i="22"/>
  <c r="K65" i="22" s="1"/>
  <c r="A99" i="14"/>
  <c r="B99" i="14" s="1"/>
  <c r="J85" i="22"/>
  <c r="A103" i="14"/>
  <c r="B103" i="14" s="1"/>
  <c r="J89" i="22"/>
  <c r="A87" i="14"/>
  <c r="B87" i="14" s="1"/>
  <c r="J73" i="22"/>
  <c r="J24" i="22"/>
  <c r="A38" i="14"/>
  <c r="B38" i="14" s="1"/>
  <c r="J36" i="22"/>
  <c r="A50" i="14"/>
  <c r="B50" i="14" s="1"/>
  <c r="J48" i="22"/>
  <c r="A62" i="14"/>
  <c r="B62" i="14" s="1"/>
  <c r="J60" i="22"/>
  <c r="A74" i="14"/>
  <c r="B74" i="14" s="1"/>
  <c r="J72" i="22"/>
  <c r="A86" i="14"/>
  <c r="B86" i="14" s="1"/>
  <c r="J84" i="22"/>
  <c r="A98" i="14"/>
  <c r="B98" i="14" s="1"/>
  <c r="J96" i="22"/>
  <c r="A110" i="14"/>
  <c r="B110" i="14" s="1"/>
  <c r="J93" i="22"/>
  <c r="A107" i="14"/>
  <c r="B107" i="14" s="1"/>
  <c r="J10" i="22"/>
  <c r="A24" i="14"/>
  <c r="B24" i="14" s="1"/>
  <c r="A45" i="14"/>
  <c r="B45" i="14" s="1"/>
  <c r="J31" i="22"/>
  <c r="A49" i="14"/>
  <c r="B49" i="14" s="1"/>
  <c r="J35" i="22"/>
  <c r="J55" i="22"/>
  <c r="A69" i="14"/>
  <c r="B69" i="14" s="1"/>
  <c r="J59" i="22"/>
  <c r="A73" i="14"/>
  <c r="B73" i="14" s="1"/>
  <c r="A93" i="14"/>
  <c r="B93" i="14" s="1"/>
  <c r="J79" i="22"/>
  <c r="A97" i="14"/>
  <c r="B97" i="14" s="1"/>
  <c r="J83" i="22"/>
  <c r="F103" i="22"/>
  <c r="C117" i="14" s="1"/>
  <c r="J103" i="22"/>
  <c r="A117" i="14"/>
  <c r="B117" i="14" s="1"/>
  <c r="J39" i="22"/>
  <c r="A53" i="14"/>
  <c r="B53" i="14" s="1"/>
  <c r="J11" i="22"/>
  <c r="A25" i="14"/>
  <c r="B25" i="14" s="1"/>
  <c r="A23" i="14"/>
  <c r="B23" i="14" s="1"/>
  <c r="J9" i="22"/>
  <c r="J30" i="22"/>
  <c r="A44" i="14"/>
  <c r="B44" i="14" s="1"/>
  <c r="J34" i="22"/>
  <c r="K34" i="22" s="1"/>
  <c r="A48" i="14"/>
  <c r="B48" i="14" s="1"/>
  <c r="A68" i="14"/>
  <c r="B68" i="14" s="1"/>
  <c r="J54" i="22"/>
  <c r="J58" i="22"/>
  <c r="K58" i="22" s="1"/>
  <c r="A72" i="14"/>
  <c r="B72" i="14" s="1"/>
  <c r="J78" i="22"/>
  <c r="K78" i="22" s="1"/>
  <c r="A92" i="14"/>
  <c r="B92" i="14" s="1"/>
  <c r="J82" i="22"/>
  <c r="K82" i="22" s="1"/>
  <c r="A96" i="14"/>
  <c r="B96" i="14" s="1"/>
  <c r="E102" i="22"/>
  <c r="A116" i="14"/>
  <c r="B116" i="14" s="1"/>
  <c r="J102" i="22"/>
  <c r="J97" i="22"/>
  <c r="A111" i="14"/>
  <c r="B111" i="14" s="1"/>
  <c r="A30" i="14"/>
  <c r="B30" i="14" s="1"/>
  <c r="J16" i="22"/>
  <c r="J29" i="22"/>
  <c r="A43" i="14"/>
  <c r="B43" i="14" s="1"/>
  <c r="J33" i="22"/>
  <c r="K33" i="22" s="1"/>
  <c r="A47" i="14"/>
  <c r="B47" i="14" s="1"/>
  <c r="A67" i="14"/>
  <c r="B67" i="14" s="1"/>
  <c r="J53" i="22"/>
  <c r="A71" i="14"/>
  <c r="B71" i="14" s="1"/>
  <c r="J57" i="22"/>
  <c r="J77" i="22"/>
  <c r="A91" i="14"/>
  <c r="B91" i="14" s="1"/>
  <c r="J81" i="22"/>
  <c r="A95" i="14"/>
  <c r="B95" i="14" s="1"/>
  <c r="A115" i="14"/>
  <c r="B115" i="14" s="1"/>
  <c r="J101" i="22"/>
  <c r="J45" i="22"/>
  <c r="A59" i="14"/>
  <c r="B59" i="14" s="1"/>
  <c r="A28" i="14"/>
  <c r="B28" i="14" s="1"/>
  <c r="J14" i="22"/>
  <c r="J12" i="22"/>
  <c r="A26" i="14"/>
  <c r="B26" i="14" s="1"/>
  <c r="J23" i="22"/>
  <c r="A37" i="14"/>
  <c r="B37" i="14" s="1"/>
  <c r="A42" i="14"/>
  <c r="B42" i="14" s="1"/>
  <c r="J28" i="22"/>
  <c r="A54" i="14"/>
  <c r="B54" i="14" s="1"/>
  <c r="J40" i="22"/>
  <c r="A66" i="14"/>
  <c r="B66" i="14" s="1"/>
  <c r="J52" i="22"/>
  <c r="A78" i="14"/>
  <c r="B78" i="14" s="1"/>
  <c r="J64" i="22"/>
  <c r="A90" i="14"/>
  <c r="B90" i="14" s="1"/>
  <c r="J76" i="22"/>
  <c r="A102" i="14"/>
  <c r="B102" i="14" s="1"/>
  <c r="J88" i="22"/>
  <c r="K88" i="22" s="1"/>
  <c r="A114" i="14"/>
  <c r="B114" i="14" s="1"/>
  <c r="J100" i="22"/>
  <c r="A32" i="14"/>
  <c r="B32" i="14" s="1"/>
  <c r="J18" i="22"/>
  <c r="A36" i="14"/>
  <c r="B36" i="14" s="1"/>
  <c r="J22" i="22"/>
  <c r="A41" i="14"/>
  <c r="B41" i="14" s="1"/>
  <c r="J27" i="22"/>
  <c r="J47" i="22"/>
  <c r="A61" i="14"/>
  <c r="B61" i="14" s="1"/>
  <c r="L51" i="22"/>
  <c r="J65" i="14" s="1"/>
  <c r="A65" i="14"/>
  <c r="B65" i="14" s="1"/>
  <c r="J51" i="22"/>
  <c r="J71" i="22"/>
  <c r="K71" i="22" s="1"/>
  <c r="A85" i="14"/>
  <c r="B85" i="14" s="1"/>
  <c r="G75" i="22"/>
  <c r="D89" i="14" s="1"/>
  <c r="A89" i="14"/>
  <c r="B89" i="14" s="1"/>
  <c r="J75" i="22"/>
  <c r="J95" i="22"/>
  <c r="A109" i="14"/>
  <c r="B109" i="14" s="1"/>
  <c r="A113" i="14"/>
  <c r="B113" i="14" s="1"/>
  <c r="J99" i="22"/>
  <c r="J21" i="22"/>
  <c r="A35" i="14"/>
  <c r="B35" i="14" s="1"/>
  <c r="A40" i="14"/>
  <c r="B40" i="14" s="1"/>
  <c r="J26" i="22"/>
  <c r="J46" i="22"/>
  <c r="A60" i="14"/>
  <c r="B60" i="14" s="1"/>
  <c r="A64" i="14"/>
  <c r="B64" i="14" s="1"/>
  <c r="J50" i="22"/>
  <c r="A84" i="14"/>
  <c r="B84" i="14" s="1"/>
  <c r="J70" i="22"/>
  <c r="K70" i="22" s="1"/>
  <c r="A88" i="14"/>
  <c r="B88" i="14" s="1"/>
  <c r="J74" i="22"/>
  <c r="J94" i="22"/>
  <c r="A108" i="14"/>
  <c r="B108" i="14" s="1"/>
  <c r="A112" i="14"/>
  <c r="B112" i="14" s="1"/>
  <c r="J98" i="22"/>
  <c r="F102" i="22"/>
  <c r="C116" i="14" s="1"/>
  <c r="L102" i="22"/>
  <c r="G27" i="22"/>
  <c r="D41" i="14" s="1"/>
  <c r="L93" i="22"/>
  <c r="L68" i="22"/>
  <c r="L92" i="22"/>
  <c r="E16" i="22"/>
  <c r="E39" i="22"/>
  <c r="L63" i="22"/>
  <c r="E87" i="22"/>
  <c r="E42" i="22"/>
  <c r="H66" i="22"/>
  <c r="L86" i="22"/>
  <c r="F22" i="22"/>
  <c r="C36" i="14" s="1"/>
  <c r="F37" i="22"/>
  <c r="C51" i="14" s="1"/>
  <c r="E41" i="22"/>
  <c r="L61" i="22"/>
  <c r="F65" i="22"/>
  <c r="C79" i="14" s="1"/>
  <c r="F85" i="22"/>
  <c r="C99" i="14" s="1"/>
  <c r="E89" i="22"/>
  <c r="L47" i="22"/>
  <c r="L70" i="22"/>
  <c r="L36" i="22"/>
  <c r="L84" i="22"/>
  <c r="F12" i="22"/>
  <c r="C26" i="14" s="1"/>
  <c r="E20" i="22"/>
  <c r="E24" i="22"/>
  <c r="F60" i="22"/>
  <c r="C74" i="14" s="1"/>
  <c r="F96" i="22"/>
  <c r="C110" i="14" s="1"/>
  <c r="E31" i="22"/>
  <c r="F59" i="22"/>
  <c r="C73" i="14" s="1"/>
  <c r="E103" i="22"/>
  <c r="E75" i="22"/>
  <c r="L94" i="22"/>
  <c r="E21" i="22"/>
  <c r="L55" i="22"/>
  <c r="G15" i="22"/>
  <c r="D29" i="14" s="1"/>
  <c r="H30" i="22"/>
  <c r="L54" i="22"/>
  <c r="G78" i="22"/>
  <c r="D92" i="14" s="1"/>
  <c r="G18" i="22"/>
  <c r="D32" i="14" s="1"/>
  <c r="G33" i="22"/>
  <c r="D47" i="14" s="1"/>
  <c r="F57" i="22"/>
  <c r="C71" i="14" s="1"/>
  <c r="F77" i="22"/>
  <c r="C91" i="14" s="1"/>
  <c r="G81" i="22"/>
  <c r="D95" i="14" s="1"/>
  <c r="G101" i="22"/>
  <c r="D115" i="14" s="1"/>
  <c r="H11" i="22"/>
  <c r="L48" i="22"/>
  <c r="J62" i="14" s="1"/>
  <c r="F72" i="22"/>
  <c r="C86" i="14" s="1"/>
  <c r="E35" i="22"/>
  <c r="L79" i="22"/>
  <c r="G83" i="22"/>
  <c r="D97" i="14" s="1"/>
  <c r="L19" i="22"/>
  <c r="J33" i="14" s="1"/>
  <c r="E34" i="22"/>
  <c r="E58" i="22"/>
  <c r="E82" i="22"/>
  <c r="G102" i="22"/>
  <c r="D116" i="14" s="1"/>
  <c r="L14" i="22"/>
  <c r="G29" i="22"/>
  <c r="D43" i="14" s="1"/>
  <c r="L53" i="22"/>
  <c r="F13" i="22"/>
  <c r="C27" i="14" s="1"/>
  <c r="E17" i="22"/>
  <c r="G28" i="22"/>
  <c r="D42" i="14" s="1"/>
  <c r="L40" i="22"/>
  <c r="J54" i="14" s="1"/>
  <c r="L52" i="22"/>
  <c r="L64" i="22"/>
  <c r="F76" i="22"/>
  <c r="C90" i="14" s="1"/>
  <c r="L88" i="22"/>
  <c r="E100" i="22"/>
  <c r="E98" i="22"/>
  <c r="F51" i="22"/>
  <c r="C65" i="14" s="1"/>
  <c r="E26" i="22"/>
  <c r="L45" i="22"/>
  <c r="F99" i="22"/>
  <c r="C113" i="14" s="1"/>
  <c r="G46" i="22"/>
  <c r="D60" i="14" s="1"/>
  <c r="E25" i="22"/>
  <c r="G97" i="22"/>
  <c r="D111" i="14" s="1"/>
  <c r="F56" i="22"/>
  <c r="C70" i="14" s="1"/>
  <c r="L95" i="22"/>
  <c r="H74" i="22"/>
  <c r="L10" i="22"/>
  <c r="J24" i="14" s="1"/>
  <c r="E49" i="22"/>
  <c r="F73" i="22"/>
  <c r="C87" i="14" s="1"/>
  <c r="E9" i="22"/>
  <c r="E32" i="22"/>
  <c r="E80" i="22"/>
  <c r="H69" i="22"/>
  <c r="L71" i="22"/>
  <c r="G50" i="22"/>
  <c r="D64" i="14" s="1"/>
  <c r="L44" i="22"/>
  <c r="L43" i="22"/>
  <c r="J57" i="14" s="1"/>
  <c r="E67" i="22"/>
  <c r="F91" i="22"/>
  <c r="C105" i="14" s="1"/>
  <c r="L23" i="22"/>
  <c r="F38" i="22"/>
  <c r="C52" i="14" s="1"/>
  <c r="L62" i="22"/>
  <c r="H90" i="22"/>
  <c r="F62" i="22"/>
  <c r="C76" i="14" s="1"/>
  <c r="F35" i="22"/>
  <c r="C49" i="14" s="1"/>
  <c r="E30" i="22"/>
  <c r="L32" i="22"/>
  <c r="J46" i="14" s="1"/>
  <c r="J22" i="14"/>
  <c r="B22" i="14"/>
  <c r="E29" i="22"/>
  <c r="F79" i="22"/>
  <c r="C93" i="14" s="1"/>
  <c r="L58" i="22"/>
  <c r="F36" i="22"/>
  <c r="C50" i="14" s="1"/>
  <c r="L30" i="22"/>
  <c r="G30" i="22"/>
  <c r="D44" i="14" s="1"/>
  <c r="E55" i="22"/>
  <c r="E19" i="22"/>
  <c r="E18" i="22"/>
  <c r="G80" i="22"/>
  <c r="D94" i="14" s="1"/>
  <c r="L91" i="22"/>
  <c r="G14" i="22"/>
  <c r="D28" i="14" s="1"/>
  <c r="F30" i="22"/>
  <c r="C44" i="14" s="1"/>
  <c r="G79" i="22"/>
  <c r="D93" i="14" s="1"/>
  <c r="L59" i="22"/>
  <c r="H22" i="22"/>
  <c r="L18" i="22"/>
  <c r="J32" i="14" s="1"/>
  <c r="H35" i="22"/>
  <c r="G24" i="22"/>
  <c r="D38" i="14" s="1"/>
  <c r="H55" i="22"/>
  <c r="F54" i="22"/>
  <c r="C68" i="14" s="1"/>
  <c r="G13" i="22"/>
  <c r="D27" i="14" s="1"/>
  <c r="L100" i="22"/>
  <c r="L13" i="22"/>
  <c r="L56" i="22"/>
  <c r="H53" i="22"/>
  <c r="H9" i="22"/>
  <c r="H50" i="22"/>
  <c r="F31" i="22"/>
  <c r="C45" i="14" s="1"/>
  <c r="L83" i="22"/>
  <c r="H21" i="22"/>
  <c r="G12" i="22"/>
  <c r="D26" i="14" s="1"/>
  <c r="L11" i="22"/>
  <c r="J25" i="14" s="1"/>
  <c r="E54" i="22"/>
  <c r="L78" i="22"/>
  <c r="F29" i="22"/>
  <c r="C43" i="14" s="1"/>
  <c r="L65" i="22"/>
  <c r="H29" i="22"/>
  <c r="H26" i="22"/>
  <c r="H25" i="22"/>
  <c r="F78" i="22"/>
  <c r="C92" i="14" s="1"/>
  <c r="G58" i="22"/>
  <c r="D72" i="14" s="1"/>
  <c r="H33" i="22"/>
  <c r="E28" i="22"/>
  <c r="F63" i="22"/>
  <c r="C77" i="14" s="1"/>
  <c r="E11" i="22"/>
  <c r="L28" i="22"/>
  <c r="H46" i="22"/>
  <c r="H94" i="22"/>
  <c r="E81" i="22"/>
  <c r="F11" i="22"/>
  <c r="C25" i="14" s="1"/>
  <c r="L81" i="22"/>
  <c r="L27" i="22"/>
  <c r="J41" i="14" s="1"/>
  <c r="H10" i="22"/>
  <c r="H34" i="22"/>
  <c r="H54" i="22"/>
  <c r="H58" i="22"/>
  <c r="H78" i="22"/>
  <c r="H82" i="22"/>
  <c r="H102" i="22"/>
  <c r="H57" i="22"/>
  <c r="H81" i="22"/>
  <c r="F9" i="22"/>
  <c r="C23" i="14" s="1"/>
  <c r="G11" i="22"/>
  <c r="D25" i="14" s="1"/>
  <c r="L73" i="22"/>
  <c r="H16" i="22"/>
  <c r="H28" i="22"/>
  <c r="H40" i="22"/>
  <c r="H52" i="22"/>
  <c r="H64" i="22"/>
  <c r="H76" i="22"/>
  <c r="H88" i="22"/>
  <c r="H100" i="22"/>
  <c r="H77" i="22"/>
  <c r="H101" i="22"/>
  <c r="G10" i="22"/>
  <c r="D24" i="14" s="1"/>
  <c r="L12" i="22"/>
  <c r="H23" i="22"/>
  <c r="H27" i="22"/>
  <c r="H47" i="22"/>
  <c r="H51" i="22"/>
  <c r="H71" i="22"/>
  <c r="H75" i="22"/>
  <c r="H95" i="22"/>
  <c r="H99" i="22"/>
  <c r="F10" i="22"/>
  <c r="C24" i="14" s="1"/>
  <c r="H45" i="22"/>
  <c r="H93" i="22"/>
  <c r="G74" i="22"/>
  <c r="D88" i="14" s="1"/>
  <c r="L57" i="22"/>
  <c r="L9" i="22"/>
  <c r="J23" i="14" s="1"/>
  <c r="H20" i="22"/>
  <c r="H32" i="22"/>
  <c r="H44" i="22"/>
  <c r="H56" i="22"/>
  <c r="H68" i="22"/>
  <c r="H80" i="22"/>
  <c r="H92" i="22"/>
  <c r="E27" i="22"/>
  <c r="H97" i="22"/>
  <c r="G73" i="22"/>
  <c r="D87" i="14" s="1"/>
  <c r="H15" i="22"/>
  <c r="H19" i="22"/>
  <c r="H39" i="22"/>
  <c r="H43" i="22"/>
  <c r="H63" i="22"/>
  <c r="H67" i="22"/>
  <c r="H87" i="22"/>
  <c r="H91" i="22"/>
  <c r="H98" i="22"/>
  <c r="E38" i="22"/>
  <c r="L42" i="22"/>
  <c r="J56" i="14" s="1"/>
  <c r="H14" i="22"/>
  <c r="H18" i="22"/>
  <c r="H38" i="22"/>
  <c r="H42" i="22"/>
  <c r="H62" i="22"/>
  <c r="H86" i="22"/>
  <c r="H49" i="22"/>
  <c r="G38" i="22"/>
  <c r="D52" i="14" s="1"/>
  <c r="E33" i="22"/>
  <c r="L38" i="22"/>
  <c r="H13" i="22"/>
  <c r="H17" i="22"/>
  <c r="H37" i="22"/>
  <c r="H41" i="22"/>
  <c r="H61" i="22"/>
  <c r="H65" i="22"/>
  <c r="H85" i="22"/>
  <c r="H89" i="22"/>
  <c r="F34" i="22"/>
  <c r="C48" i="14" s="1"/>
  <c r="L89" i="22"/>
  <c r="H12" i="22"/>
  <c r="H24" i="22"/>
  <c r="H36" i="22"/>
  <c r="H48" i="22"/>
  <c r="H60" i="22"/>
  <c r="H72" i="22"/>
  <c r="H84" i="22"/>
  <c r="H96" i="22"/>
  <c r="H70" i="22"/>
  <c r="E10" i="22"/>
  <c r="H73" i="22"/>
  <c r="H31" i="22"/>
  <c r="H59" i="22"/>
  <c r="H79" i="22"/>
  <c r="H83" i="22"/>
  <c r="H103" i="22"/>
  <c r="L98" i="22"/>
  <c r="L97" i="22"/>
  <c r="G103" i="22"/>
  <c r="D117" i="14" s="1"/>
  <c r="E97" i="22"/>
  <c r="E96" i="22"/>
  <c r="L99" i="22"/>
  <c r="F90" i="22"/>
  <c r="C104" i="14" s="1"/>
  <c r="E95" i="22"/>
  <c r="E94" i="22"/>
  <c r="G95" i="22"/>
  <c r="D109" i="14" s="1"/>
  <c r="G94" i="22"/>
  <c r="D108" i="14" s="1"/>
  <c r="G88" i="22"/>
  <c r="D102" i="14" s="1"/>
  <c r="F94" i="22"/>
  <c r="C108" i="14" s="1"/>
  <c r="F89" i="22"/>
  <c r="C103" i="14" s="1"/>
  <c r="F86" i="22"/>
  <c r="C100" i="14" s="1"/>
  <c r="L82" i="22"/>
  <c r="F87" i="22"/>
  <c r="C101" i="14" s="1"/>
  <c r="G87" i="22"/>
  <c r="D101" i="14" s="1"/>
  <c r="E86" i="22"/>
  <c r="G86" i="22"/>
  <c r="D100" i="14" s="1"/>
  <c r="E78" i="22"/>
  <c r="E74" i="22"/>
  <c r="E73" i="22"/>
  <c r="L76" i="22"/>
  <c r="L75" i="22"/>
  <c r="L74" i="22"/>
  <c r="E64" i="22"/>
  <c r="F71" i="22"/>
  <c r="C85" i="14" s="1"/>
  <c r="G65" i="22"/>
  <c r="D79" i="14" s="1"/>
  <c r="E71" i="22"/>
  <c r="E70" i="22"/>
  <c r="F70" i="22"/>
  <c r="C84" i="14" s="1"/>
  <c r="L67" i="22"/>
  <c r="L66" i="22"/>
  <c r="E57" i="22"/>
  <c r="G62" i="22"/>
  <c r="D76" i="14" s="1"/>
  <c r="G57" i="22"/>
  <c r="D71" i="14" s="1"/>
  <c r="L50" i="22"/>
  <c r="J64" i="14" s="1"/>
  <c r="L49" i="22"/>
  <c r="J63" i="14" s="1"/>
  <c r="G49" i="22"/>
  <c r="D63" i="14" s="1"/>
  <c r="F50" i="22"/>
  <c r="C64" i="14" s="1"/>
  <c r="F49" i="22"/>
  <c r="C63" i="14" s="1"/>
  <c r="G47" i="22"/>
  <c r="D61" i="14" s="1"/>
  <c r="E47" i="22"/>
  <c r="L46" i="22"/>
  <c r="F46" i="22"/>
  <c r="C60" i="14" s="1"/>
  <c r="E46" i="22"/>
  <c r="F47" i="22"/>
  <c r="C61" i="14" s="1"/>
  <c r="L41" i="22"/>
  <c r="J55" i="14" s="1"/>
  <c r="L33" i="22"/>
  <c r="J47" i="14" s="1"/>
  <c r="F33" i="22"/>
  <c r="C47" i="14" s="1"/>
  <c r="G39" i="22"/>
  <c r="D53" i="14" s="1"/>
  <c r="L34" i="22"/>
  <c r="J48" i="14" s="1"/>
  <c r="F25" i="22"/>
  <c r="C39" i="14" s="1"/>
  <c r="L29" i="22"/>
  <c r="F24" i="22"/>
  <c r="C38" i="14" s="1"/>
  <c r="G31" i="22"/>
  <c r="D45" i="14" s="1"/>
  <c r="L26" i="22"/>
  <c r="J40" i="14" s="1"/>
  <c r="L25" i="22"/>
  <c r="J39" i="14" s="1"/>
  <c r="G25" i="22"/>
  <c r="D39" i="14" s="1"/>
  <c r="G22" i="22"/>
  <c r="D36" i="14" s="1"/>
  <c r="F21" i="22"/>
  <c r="C35" i="14" s="1"/>
  <c r="G21" i="22"/>
  <c r="D35" i="14" s="1"/>
  <c r="E23" i="22"/>
  <c r="L22" i="22"/>
  <c r="F20" i="22"/>
  <c r="C34" i="14" s="1"/>
  <c r="G20" i="22"/>
  <c r="D34" i="14" s="1"/>
  <c r="E22" i="22"/>
  <c r="L21" i="22"/>
  <c r="F19" i="22"/>
  <c r="C33" i="14" s="1"/>
  <c r="G19" i="22"/>
  <c r="D33" i="14" s="1"/>
  <c r="L20" i="22"/>
  <c r="F18" i="22"/>
  <c r="C32" i="14" s="1"/>
  <c r="F17" i="22"/>
  <c r="C31" i="14" s="1"/>
  <c r="G17" i="22"/>
  <c r="D31" i="14" s="1"/>
  <c r="F16" i="22"/>
  <c r="C30" i="14" s="1"/>
  <c r="G16" i="22"/>
  <c r="D30" i="14" s="1"/>
  <c r="L17" i="22"/>
  <c r="J31" i="14" s="1"/>
  <c r="L16" i="22"/>
  <c r="J30" i="14" s="1"/>
  <c r="F23" i="22"/>
  <c r="C37" i="14" s="1"/>
  <c r="G23" i="22"/>
  <c r="D37" i="14" s="1"/>
  <c r="D22" i="14"/>
  <c r="E15" i="22"/>
  <c r="C22" i="14"/>
  <c r="E14" i="22"/>
  <c r="G9" i="22"/>
  <c r="D23" i="14" s="1"/>
  <c r="E13" i="22"/>
  <c r="F15" i="22"/>
  <c r="C29" i="14" s="1"/>
  <c r="E12" i="22"/>
  <c r="F14" i="22"/>
  <c r="C28" i="14" s="1"/>
  <c r="L15" i="22"/>
  <c r="F100" i="22"/>
  <c r="C114" i="14" s="1"/>
  <c r="F97" i="22"/>
  <c r="C111" i="14" s="1"/>
  <c r="G99" i="22"/>
  <c r="D113" i="14" s="1"/>
  <c r="G98" i="22"/>
  <c r="D112" i="14" s="1"/>
  <c r="E101" i="22"/>
  <c r="F98" i="22"/>
  <c r="C112" i="14" s="1"/>
  <c r="G100" i="22"/>
  <c r="D114" i="14" s="1"/>
  <c r="L103" i="22"/>
  <c r="E99" i="22"/>
  <c r="L101" i="22"/>
  <c r="F101" i="22"/>
  <c r="C115" i="14" s="1"/>
  <c r="G96" i="22"/>
  <c r="D110" i="14" s="1"/>
  <c r="L96" i="22"/>
  <c r="G93" i="22"/>
  <c r="D107" i="14" s="1"/>
  <c r="G92" i="22"/>
  <c r="D106" i="14" s="1"/>
  <c r="G91" i="22"/>
  <c r="D105" i="14" s="1"/>
  <c r="F95" i="22"/>
  <c r="C109" i="14" s="1"/>
  <c r="G90" i="22"/>
  <c r="D104" i="14" s="1"/>
  <c r="E93" i="22"/>
  <c r="G89" i="22"/>
  <c r="D103" i="14" s="1"/>
  <c r="E92" i="22"/>
  <c r="F93" i="22"/>
  <c r="C107" i="14" s="1"/>
  <c r="E91" i="22"/>
  <c r="F92" i="22"/>
  <c r="C106" i="14" s="1"/>
  <c r="E90" i="22"/>
  <c r="E88" i="22"/>
  <c r="F88" i="22"/>
  <c r="C102" i="14" s="1"/>
  <c r="E83" i="22"/>
  <c r="F84" i="22"/>
  <c r="C98" i="14" s="1"/>
  <c r="G85" i="22"/>
  <c r="D99" i="14" s="1"/>
  <c r="F83" i="22"/>
  <c r="C97" i="14" s="1"/>
  <c r="G84" i="22"/>
  <c r="D98" i="14" s="1"/>
  <c r="F82" i="22"/>
  <c r="C96" i="14" s="1"/>
  <c r="E85" i="22"/>
  <c r="E84" i="22"/>
  <c r="F81" i="22"/>
  <c r="C95" i="14" s="1"/>
  <c r="G82" i="22"/>
  <c r="D96" i="14" s="1"/>
  <c r="L87" i="22"/>
  <c r="L85" i="22"/>
  <c r="F80" i="22"/>
  <c r="C94" i="14" s="1"/>
  <c r="L80" i="22"/>
  <c r="F74" i="22"/>
  <c r="C88" i="14" s="1"/>
  <c r="E79" i="22"/>
  <c r="F75" i="22"/>
  <c r="C89" i="14" s="1"/>
  <c r="E77" i="22"/>
  <c r="G77" i="22"/>
  <c r="D91" i="14" s="1"/>
  <c r="E76" i="22"/>
  <c r="G76" i="22"/>
  <c r="D90" i="14" s="1"/>
  <c r="L77" i="22"/>
  <c r="E72" i="22"/>
  <c r="G72" i="22"/>
  <c r="D86" i="14" s="1"/>
  <c r="L72" i="22"/>
  <c r="E69" i="22"/>
  <c r="G71" i="22"/>
  <c r="D85" i="14" s="1"/>
  <c r="E65" i="22"/>
  <c r="F69" i="22"/>
  <c r="C83" i="14" s="1"/>
  <c r="G70" i="22"/>
  <c r="D84" i="14" s="1"/>
  <c r="E66" i="22"/>
  <c r="F68" i="22"/>
  <c r="C82" i="14" s="1"/>
  <c r="G69" i="22"/>
  <c r="D83" i="14" s="1"/>
  <c r="F67" i="22"/>
  <c r="C81" i="14" s="1"/>
  <c r="G68" i="22"/>
  <c r="D82" i="14" s="1"/>
  <c r="E68" i="22"/>
  <c r="F66" i="22"/>
  <c r="C80" i="14" s="1"/>
  <c r="G67" i="22"/>
  <c r="D81" i="14" s="1"/>
  <c r="G66" i="22"/>
  <c r="D80" i="14" s="1"/>
  <c r="F64" i="22"/>
  <c r="C78" i="14" s="1"/>
  <c r="G64" i="22"/>
  <c r="D78" i="14" s="1"/>
  <c r="F58" i="22"/>
  <c r="C72" i="14" s="1"/>
  <c r="E63" i="22"/>
  <c r="G63" i="22"/>
  <c r="D77" i="14" s="1"/>
  <c r="E62" i="22"/>
  <c r="F61" i="22"/>
  <c r="C75" i="14" s="1"/>
  <c r="E61" i="22"/>
  <c r="G61" i="22"/>
  <c r="D75" i="14" s="1"/>
  <c r="E60" i="22"/>
  <c r="G60" i="22"/>
  <c r="D74" i="14" s="1"/>
  <c r="E59" i="22"/>
  <c r="G59" i="22"/>
  <c r="D73" i="14" s="1"/>
  <c r="L60" i="22"/>
  <c r="G56" i="22"/>
  <c r="D70" i="14" s="1"/>
  <c r="E56" i="22"/>
  <c r="E50" i="22"/>
  <c r="G55" i="22"/>
  <c r="D69" i="14" s="1"/>
  <c r="F55" i="22"/>
  <c r="C69" i="14" s="1"/>
  <c r="G54" i="22"/>
  <c r="D68" i="14" s="1"/>
  <c r="E53" i="22"/>
  <c r="E52" i="22"/>
  <c r="E51" i="22"/>
  <c r="G53" i="22"/>
  <c r="D67" i="14" s="1"/>
  <c r="F53" i="22"/>
  <c r="C67" i="14" s="1"/>
  <c r="G52" i="22"/>
  <c r="D66" i="14" s="1"/>
  <c r="F52" i="22"/>
  <c r="C66" i="14" s="1"/>
  <c r="G51" i="22"/>
  <c r="D65" i="14" s="1"/>
  <c r="E48" i="22"/>
  <c r="G48" i="22"/>
  <c r="D62" i="14" s="1"/>
  <c r="F48" i="22"/>
  <c r="C62" i="14" s="1"/>
  <c r="F45" i="22"/>
  <c r="C59" i="14" s="1"/>
  <c r="F44" i="22"/>
  <c r="C58" i="14" s="1"/>
  <c r="F41" i="22"/>
  <c r="C55" i="14" s="1"/>
  <c r="G45" i="22"/>
  <c r="D59" i="14" s="1"/>
  <c r="E45" i="22"/>
  <c r="F43" i="22"/>
  <c r="C57" i="14" s="1"/>
  <c r="F42" i="22"/>
  <c r="C56" i="14" s="1"/>
  <c r="G44" i="22"/>
  <c r="D58" i="14" s="1"/>
  <c r="E44" i="22"/>
  <c r="G43" i="22"/>
  <c r="D57" i="14" s="1"/>
  <c r="E43" i="22"/>
  <c r="G42" i="22"/>
  <c r="D56" i="14" s="1"/>
  <c r="G41" i="22"/>
  <c r="D55" i="14" s="1"/>
  <c r="G40" i="22"/>
  <c r="D54" i="14" s="1"/>
  <c r="E40" i="22"/>
  <c r="F40" i="22"/>
  <c r="C54" i="14" s="1"/>
  <c r="E36" i="22"/>
  <c r="G37" i="22"/>
  <c r="D51" i="14" s="1"/>
  <c r="L39" i="22"/>
  <c r="E37" i="22"/>
  <c r="G36" i="22"/>
  <c r="D50" i="14" s="1"/>
  <c r="F39" i="22"/>
  <c r="C53" i="14" s="1"/>
  <c r="G35" i="22"/>
  <c r="D49" i="14" s="1"/>
  <c r="L37" i="22"/>
  <c r="G34" i="22"/>
  <c r="D48" i="14" s="1"/>
  <c r="L35" i="22"/>
  <c r="J49" i="14" s="1"/>
  <c r="G32" i="22"/>
  <c r="D46" i="14" s="1"/>
  <c r="F32" i="22"/>
  <c r="C46" i="14" s="1"/>
  <c r="F27" i="22"/>
  <c r="C41" i="14" s="1"/>
  <c r="F26" i="22"/>
  <c r="C40" i="14" s="1"/>
  <c r="G26" i="22"/>
  <c r="D40" i="14" s="1"/>
  <c r="L31" i="22"/>
  <c r="F28" i="22"/>
  <c r="C42" i="14" s="1"/>
  <c r="L24" i="22"/>
  <c r="J38" i="14" s="1"/>
  <c r="B10" i="14"/>
  <c r="E66" i="14" l="1"/>
  <c r="I52" i="22"/>
  <c r="G36" i="14"/>
  <c r="K22" i="22"/>
  <c r="H36" i="14" s="1"/>
  <c r="G28" i="14"/>
  <c r="K14" i="22"/>
  <c r="H28" i="14" s="1"/>
  <c r="G67" i="14"/>
  <c r="K53" i="22"/>
  <c r="H67" i="14" s="1"/>
  <c r="G44" i="14"/>
  <c r="K30" i="22"/>
  <c r="H44" i="14" s="1"/>
  <c r="G58" i="14"/>
  <c r="K44" i="22"/>
  <c r="H58" i="14" s="1"/>
  <c r="E53" i="14"/>
  <c r="I39" i="22"/>
  <c r="F53" i="14" s="1"/>
  <c r="E34" i="14"/>
  <c r="I20" i="22"/>
  <c r="F34" i="14" s="1"/>
  <c r="E61" i="14"/>
  <c r="I47" i="22"/>
  <c r="F61" i="14" s="1"/>
  <c r="E68" i="14"/>
  <c r="I54" i="22"/>
  <c r="F68" i="14" s="1"/>
  <c r="E69" i="14"/>
  <c r="I55" i="22"/>
  <c r="F69" i="14" s="1"/>
  <c r="G50" i="14"/>
  <c r="K36" i="22"/>
  <c r="H50" i="14" s="1"/>
  <c r="G34" i="14"/>
  <c r="K20" i="22"/>
  <c r="H34" i="14" s="1"/>
  <c r="E52" i="14"/>
  <c r="I38" i="22"/>
  <c r="F52" i="14" s="1"/>
  <c r="E42" i="14"/>
  <c r="I28" i="22"/>
  <c r="F42" i="14" s="1"/>
  <c r="E35" i="14"/>
  <c r="I21" i="22"/>
  <c r="F35" i="14" s="1"/>
  <c r="E44" i="14"/>
  <c r="I30" i="22"/>
  <c r="F44" i="14" s="1"/>
  <c r="G66" i="14"/>
  <c r="K52" i="22"/>
  <c r="H66" i="14" s="1"/>
  <c r="E29" i="14"/>
  <c r="I15" i="22"/>
  <c r="F29" i="14" s="1"/>
  <c r="E37" i="14"/>
  <c r="I23" i="22"/>
  <c r="F37" i="14" s="1"/>
  <c r="G60" i="14"/>
  <c r="K46" i="22"/>
  <c r="H60" i="14" s="1"/>
  <c r="G59" i="14"/>
  <c r="K45" i="22"/>
  <c r="H59" i="14" s="1"/>
  <c r="E51" i="14"/>
  <c r="I37" i="22"/>
  <c r="F51" i="14" s="1"/>
  <c r="E28" i="14"/>
  <c r="I14" i="22"/>
  <c r="F28" i="14" s="1"/>
  <c r="G51" i="14"/>
  <c r="K37" i="22"/>
  <c r="H51" i="14" s="1"/>
  <c r="G52" i="14"/>
  <c r="K38" i="22"/>
  <c r="H52" i="14" s="1"/>
  <c r="E36" i="14"/>
  <c r="I22" i="22"/>
  <c r="F36" i="14" s="1"/>
  <c r="G43" i="14"/>
  <c r="K29" i="22"/>
  <c r="H43" i="14" s="1"/>
  <c r="G69" i="14"/>
  <c r="K55" i="22"/>
  <c r="H69" i="14" s="1"/>
  <c r="E50" i="14"/>
  <c r="I36" i="22"/>
  <c r="F50" i="14" s="1"/>
  <c r="E27" i="14"/>
  <c r="I13" i="22"/>
  <c r="E59" i="14"/>
  <c r="I45" i="22"/>
  <c r="F59" i="14" s="1"/>
  <c r="G42" i="14"/>
  <c r="K28" i="22"/>
  <c r="H42" i="14" s="1"/>
  <c r="G53" i="14"/>
  <c r="K39" i="22"/>
  <c r="H53" i="14" s="1"/>
  <c r="E43" i="14"/>
  <c r="I29" i="22"/>
  <c r="F43" i="14" s="1"/>
  <c r="E67" i="14"/>
  <c r="I53" i="22"/>
  <c r="F67" i="14" s="1"/>
  <c r="G35" i="14"/>
  <c r="K21" i="22"/>
  <c r="H35" i="14" s="1"/>
  <c r="G68" i="14"/>
  <c r="K54" i="22"/>
  <c r="H68" i="14" s="1"/>
  <c r="E26" i="14"/>
  <c r="I12" i="22"/>
  <c r="F26" i="14" s="1"/>
  <c r="G45" i="14"/>
  <c r="K31" i="22"/>
  <c r="H45" i="14" s="1"/>
  <c r="E45" i="14"/>
  <c r="I31" i="22"/>
  <c r="F45" i="14" s="1"/>
  <c r="E60" i="14"/>
  <c r="I46" i="22"/>
  <c r="F60" i="14" s="1"/>
  <c r="G61" i="14"/>
  <c r="K47" i="22"/>
  <c r="H61" i="14" s="1"/>
  <c r="G37" i="14"/>
  <c r="K23" i="22"/>
  <c r="H37" i="14" s="1"/>
  <c r="G27" i="14"/>
  <c r="K13" i="22"/>
  <c r="H27" i="14" s="1"/>
  <c r="E58" i="14"/>
  <c r="I44" i="22"/>
  <c r="F58" i="14" s="1"/>
  <c r="G26" i="14"/>
  <c r="K12" i="22"/>
  <c r="H26" i="14" s="1"/>
  <c r="G29" i="14"/>
  <c r="K15" i="22"/>
  <c r="H29" i="14" s="1"/>
  <c r="G89" i="14"/>
  <c r="K75" i="22"/>
  <c r="H89" i="14" s="1"/>
  <c r="G78" i="14"/>
  <c r="K64" i="22"/>
  <c r="H78" i="14" s="1"/>
  <c r="G93" i="14"/>
  <c r="K79" i="22"/>
  <c r="H93" i="14" s="1"/>
  <c r="G76" i="14"/>
  <c r="K62" i="22"/>
  <c r="H76" i="14" s="1"/>
  <c r="E111" i="14"/>
  <c r="I97" i="22"/>
  <c r="F111" i="14" s="1"/>
  <c r="E107" i="14"/>
  <c r="I93" i="22"/>
  <c r="F107" i="14" s="1"/>
  <c r="G107" i="14"/>
  <c r="K93" i="22"/>
  <c r="H107" i="14" s="1"/>
  <c r="G75" i="14"/>
  <c r="K61" i="22"/>
  <c r="H75" i="14" s="1"/>
  <c r="E97" i="14"/>
  <c r="I83" i="22"/>
  <c r="F97" i="14" s="1"/>
  <c r="E115" i="14"/>
  <c r="I101" i="22"/>
  <c r="F115" i="14" s="1"/>
  <c r="E93" i="14"/>
  <c r="I79" i="22"/>
  <c r="F93" i="14" s="1"/>
  <c r="E112" i="14"/>
  <c r="I98" i="22"/>
  <c r="F112" i="14" s="1"/>
  <c r="E106" i="14"/>
  <c r="I92" i="22"/>
  <c r="F106" i="14" s="1"/>
  <c r="E91" i="14"/>
  <c r="I77" i="22"/>
  <c r="F91" i="14" s="1"/>
  <c r="E95" i="14"/>
  <c r="I81" i="22"/>
  <c r="F95" i="14" s="1"/>
  <c r="G73" i="14"/>
  <c r="K59" i="22"/>
  <c r="H73" i="14" s="1"/>
  <c r="G110" i="14"/>
  <c r="K96" i="22"/>
  <c r="H110" i="14" s="1"/>
  <c r="G105" i="14"/>
  <c r="K91" i="22"/>
  <c r="H105" i="14" s="1"/>
  <c r="G83" i="14"/>
  <c r="K69" i="22"/>
  <c r="H83" i="14" s="1"/>
  <c r="E73" i="14"/>
  <c r="I59" i="22"/>
  <c r="F73" i="14" s="1"/>
  <c r="E105" i="14"/>
  <c r="I91" i="22"/>
  <c r="F105" i="14" s="1"/>
  <c r="E94" i="14"/>
  <c r="I80" i="22"/>
  <c r="F94" i="14" s="1"/>
  <c r="E113" i="14"/>
  <c r="I99" i="22"/>
  <c r="F113" i="14" s="1"/>
  <c r="E114" i="14"/>
  <c r="I100" i="22"/>
  <c r="F114" i="14" s="1"/>
  <c r="E71" i="14"/>
  <c r="I57" i="22"/>
  <c r="F71" i="14" s="1"/>
  <c r="E108" i="14"/>
  <c r="I94" i="22"/>
  <c r="F108" i="14" s="1"/>
  <c r="E88" i="14"/>
  <c r="I74" i="22"/>
  <c r="F88" i="14" s="1"/>
  <c r="E80" i="14"/>
  <c r="I66" i="22"/>
  <c r="F80" i="14" s="1"/>
  <c r="G112" i="14"/>
  <c r="K98" i="22"/>
  <c r="H112" i="14" s="1"/>
  <c r="G115" i="14"/>
  <c r="K101" i="22"/>
  <c r="H115" i="14" s="1"/>
  <c r="G87" i="14"/>
  <c r="K73" i="22"/>
  <c r="H87" i="14" s="1"/>
  <c r="G101" i="14"/>
  <c r="K87" i="22"/>
  <c r="H101" i="14" s="1"/>
  <c r="G106" i="14"/>
  <c r="K92" i="22"/>
  <c r="H106" i="14" s="1"/>
  <c r="E101" i="14"/>
  <c r="I87" i="22"/>
  <c r="F101" i="14" s="1"/>
  <c r="E82" i="14"/>
  <c r="I68" i="22"/>
  <c r="F82" i="14" s="1"/>
  <c r="E109" i="14"/>
  <c r="I95" i="22"/>
  <c r="F109" i="14" s="1"/>
  <c r="E102" i="14"/>
  <c r="I88" i="22"/>
  <c r="F102" i="14" s="1"/>
  <c r="E116" i="14"/>
  <c r="I102" i="22"/>
  <c r="F116" i="14" s="1"/>
  <c r="G98" i="14"/>
  <c r="K84" i="22"/>
  <c r="H98" i="14" s="1"/>
  <c r="E87" i="14"/>
  <c r="I73" i="22"/>
  <c r="F87" i="14" s="1"/>
  <c r="E81" i="14"/>
  <c r="I67" i="22"/>
  <c r="F81" i="14" s="1"/>
  <c r="E70" i="14"/>
  <c r="I56" i="22"/>
  <c r="F70" i="14" s="1"/>
  <c r="E89" i="14"/>
  <c r="I75" i="22"/>
  <c r="F89" i="14" s="1"/>
  <c r="E90" i="14"/>
  <c r="I76" i="22"/>
  <c r="F90" i="14" s="1"/>
  <c r="E96" i="14"/>
  <c r="I82" i="22"/>
  <c r="F96" i="14" s="1"/>
  <c r="G114" i="14"/>
  <c r="K100" i="22"/>
  <c r="H114" i="14" s="1"/>
  <c r="G103" i="14"/>
  <c r="K89" i="22"/>
  <c r="H103" i="14" s="1"/>
  <c r="G81" i="14"/>
  <c r="K67" i="22"/>
  <c r="H81" i="14" s="1"/>
  <c r="E103" i="14"/>
  <c r="I89" i="22"/>
  <c r="F103" i="14" s="1"/>
  <c r="E100" i="14"/>
  <c r="I86" i="22"/>
  <c r="F100" i="14" s="1"/>
  <c r="E77" i="14"/>
  <c r="I63" i="22"/>
  <c r="F77" i="14" s="1"/>
  <c r="E85" i="14"/>
  <c r="I71" i="22"/>
  <c r="F85" i="14" s="1"/>
  <c r="E78" i="14"/>
  <c r="I64" i="22"/>
  <c r="F78" i="14" s="1"/>
  <c r="E92" i="14"/>
  <c r="I78" i="22"/>
  <c r="F92" i="14" s="1"/>
  <c r="G108" i="14"/>
  <c r="K94" i="22"/>
  <c r="H108" i="14" s="1"/>
  <c r="G95" i="14"/>
  <c r="K81" i="22"/>
  <c r="H95" i="14" s="1"/>
  <c r="G86" i="14"/>
  <c r="K72" i="22"/>
  <c r="H86" i="14" s="1"/>
  <c r="G94" i="14"/>
  <c r="K80" i="22"/>
  <c r="H94" i="14" s="1"/>
  <c r="E74" i="14"/>
  <c r="I60" i="22"/>
  <c r="F74" i="14" s="1"/>
  <c r="E84" i="14"/>
  <c r="I70" i="22"/>
  <c r="F84" i="14" s="1"/>
  <c r="E99" i="14"/>
  <c r="I85" i="22"/>
  <c r="F99" i="14" s="1"/>
  <c r="E76" i="14"/>
  <c r="I62" i="22"/>
  <c r="F76" i="14" s="1"/>
  <c r="E72" i="14"/>
  <c r="I58" i="22"/>
  <c r="F72" i="14" s="1"/>
  <c r="G88" i="14"/>
  <c r="K74" i="22"/>
  <c r="H88" i="14" s="1"/>
  <c r="G113" i="14"/>
  <c r="K99" i="22"/>
  <c r="H113" i="14" s="1"/>
  <c r="G99" i="14"/>
  <c r="K85" i="22"/>
  <c r="H99" i="14" s="1"/>
  <c r="G100" i="14"/>
  <c r="K86" i="22"/>
  <c r="H100" i="14" s="1"/>
  <c r="G77" i="14"/>
  <c r="K63" i="22"/>
  <c r="H77" i="14" s="1"/>
  <c r="E98" i="14"/>
  <c r="I84" i="22"/>
  <c r="F98" i="14" s="1"/>
  <c r="E110" i="14"/>
  <c r="I96" i="22"/>
  <c r="F110" i="14" s="1"/>
  <c r="E79" i="14"/>
  <c r="I65" i="22"/>
  <c r="F79" i="14" s="1"/>
  <c r="E83" i="14"/>
  <c r="I69" i="22"/>
  <c r="F83" i="14" s="1"/>
  <c r="G91" i="14"/>
  <c r="K77" i="22"/>
  <c r="H91" i="14" s="1"/>
  <c r="G111" i="14"/>
  <c r="K97" i="22"/>
  <c r="H111" i="14" s="1"/>
  <c r="G74" i="14"/>
  <c r="K60" i="22"/>
  <c r="H74" i="14" s="1"/>
  <c r="G82" i="14"/>
  <c r="K68" i="22"/>
  <c r="H82" i="14" s="1"/>
  <c r="G90" i="14"/>
  <c r="K76" i="22"/>
  <c r="H90" i="14" s="1"/>
  <c r="G71" i="14"/>
  <c r="K57" i="22"/>
  <c r="H71" i="14" s="1"/>
  <c r="G116" i="14"/>
  <c r="K102" i="22"/>
  <c r="H116" i="14" s="1"/>
  <c r="G97" i="14"/>
  <c r="K83" i="22"/>
  <c r="H97" i="14" s="1"/>
  <c r="G80" i="14"/>
  <c r="K66" i="22"/>
  <c r="H80" i="14" s="1"/>
  <c r="E75" i="14"/>
  <c r="I61" i="22"/>
  <c r="F75" i="14" s="1"/>
  <c r="E86" i="14"/>
  <c r="I72" i="22"/>
  <c r="F86" i="14" s="1"/>
  <c r="E104" i="14"/>
  <c r="I90" i="22"/>
  <c r="F104" i="14" s="1"/>
  <c r="G109" i="14"/>
  <c r="K95" i="22"/>
  <c r="H109" i="14" s="1"/>
  <c r="G70" i="14"/>
  <c r="K56" i="22"/>
  <c r="H70" i="14" s="1"/>
  <c r="E117" i="14"/>
  <c r="I103" i="22"/>
  <c r="F117" i="14" s="1"/>
  <c r="G117" i="14"/>
  <c r="K103" i="22"/>
  <c r="H117" i="14" s="1"/>
  <c r="G64" i="14"/>
  <c r="K50" i="22"/>
  <c r="H64" i="14" s="1"/>
  <c r="G39" i="14"/>
  <c r="K25" i="22"/>
  <c r="H39" i="14" s="1"/>
  <c r="G23" i="14"/>
  <c r="K9" i="22"/>
  <c r="H23" i="14" s="1"/>
  <c r="G32" i="14"/>
  <c r="K18" i="22"/>
  <c r="H32" i="14" s="1"/>
  <c r="G55" i="14"/>
  <c r="K41" i="22"/>
  <c r="H55" i="14" s="1"/>
  <c r="G38" i="14"/>
  <c r="K24" i="22"/>
  <c r="H38" i="14" s="1"/>
  <c r="G56" i="14"/>
  <c r="K42" i="22"/>
  <c r="H56" i="14" s="1"/>
  <c r="G46" i="14"/>
  <c r="K32" i="22"/>
  <c r="H46" i="14" s="1"/>
  <c r="G40" i="14"/>
  <c r="K26" i="22"/>
  <c r="H40" i="14" s="1"/>
  <c r="G54" i="14"/>
  <c r="K40" i="22"/>
  <c r="H54" i="14" s="1"/>
  <c r="G25" i="14"/>
  <c r="K11" i="22"/>
  <c r="H25" i="14" s="1"/>
  <c r="G33" i="14"/>
  <c r="K19" i="22"/>
  <c r="H33" i="14" s="1"/>
  <c r="G65" i="14"/>
  <c r="K51" i="22"/>
  <c r="H65" i="14" s="1"/>
  <c r="G30" i="14"/>
  <c r="K16" i="22"/>
  <c r="H30" i="14" s="1"/>
  <c r="G49" i="14"/>
  <c r="K35" i="22"/>
  <c r="H49" i="14" s="1"/>
  <c r="G31" i="14"/>
  <c r="K17" i="22"/>
  <c r="H31" i="14" s="1"/>
  <c r="G63" i="14"/>
  <c r="K49" i="22"/>
  <c r="H63" i="14" s="1"/>
  <c r="G41" i="14"/>
  <c r="K27" i="22"/>
  <c r="H41" i="14" s="1"/>
  <c r="G24" i="14"/>
  <c r="K10" i="22"/>
  <c r="H24" i="14" s="1"/>
  <c r="G62" i="14"/>
  <c r="K48" i="22"/>
  <c r="H62" i="14" s="1"/>
  <c r="G57" i="14"/>
  <c r="K43" i="22"/>
  <c r="H57" i="14" s="1"/>
  <c r="H22" i="14"/>
  <c r="E62" i="14"/>
  <c r="I48" i="22"/>
  <c r="F62" i="14" s="1"/>
  <c r="E31" i="14"/>
  <c r="I17" i="22"/>
  <c r="F31" i="14" s="1"/>
  <c r="E39" i="14"/>
  <c r="I25" i="22"/>
  <c r="F39" i="14" s="1"/>
  <c r="E64" i="14"/>
  <c r="I50" i="22"/>
  <c r="F64" i="14" s="1"/>
  <c r="E40" i="14"/>
  <c r="I26" i="22"/>
  <c r="F40" i="14" s="1"/>
  <c r="E23" i="14"/>
  <c r="I9" i="22"/>
  <c r="F23" i="14" s="1"/>
  <c r="E38" i="14"/>
  <c r="I24" i="22"/>
  <c r="F38" i="14" s="1"/>
  <c r="E25" i="14"/>
  <c r="I11" i="22"/>
  <c r="F25" i="14" s="1"/>
  <c r="E63" i="14"/>
  <c r="I49" i="22"/>
  <c r="F63" i="14" s="1"/>
  <c r="E57" i="14"/>
  <c r="I43" i="22"/>
  <c r="F57" i="14" s="1"/>
  <c r="E46" i="14"/>
  <c r="I32" i="22"/>
  <c r="F46" i="14" s="1"/>
  <c r="E65" i="14"/>
  <c r="I51" i="22"/>
  <c r="F65" i="14" s="1"/>
  <c r="E56" i="14"/>
  <c r="I42" i="22"/>
  <c r="F56" i="14" s="1"/>
  <c r="E54" i="14"/>
  <c r="I40" i="22"/>
  <c r="F54" i="14" s="1"/>
  <c r="E33" i="14"/>
  <c r="I19" i="22"/>
  <c r="F33" i="14" s="1"/>
  <c r="E41" i="14"/>
  <c r="I27" i="22"/>
  <c r="F41" i="14" s="1"/>
  <c r="E48" i="14"/>
  <c r="I34" i="22"/>
  <c r="F48" i="14" s="1"/>
  <c r="E47" i="14"/>
  <c r="I33" i="22"/>
  <c r="F47" i="14" s="1"/>
  <c r="E55" i="14"/>
  <c r="I41" i="22"/>
  <c r="F55" i="14" s="1"/>
  <c r="E32" i="14"/>
  <c r="I18" i="22"/>
  <c r="F32" i="14" s="1"/>
  <c r="E30" i="14"/>
  <c r="I16" i="22"/>
  <c r="F30" i="14" s="1"/>
  <c r="E24" i="14"/>
  <c r="I10" i="22"/>
  <c r="F24" i="14" s="1"/>
  <c r="E49" i="14"/>
  <c r="I35" i="22"/>
  <c r="F49" i="14" s="1"/>
  <c r="I107" i="14"/>
  <c r="J107" i="14"/>
  <c r="I90" i="14"/>
  <c r="J90" i="14"/>
  <c r="I76" i="14"/>
  <c r="J76" i="14"/>
  <c r="I98" i="14"/>
  <c r="J98" i="14"/>
  <c r="I100" i="14"/>
  <c r="J100" i="14"/>
  <c r="I116" i="14"/>
  <c r="J116" i="14"/>
  <c r="I108" i="14"/>
  <c r="J108" i="14"/>
  <c r="I101" i="14"/>
  <c r="J101" i="14"/>
  <c r="I84" i="14"/>
  <c r="J84" i="14"/>
  <c r="I115" i="14"/>
  <c r="J115" i="14"/>
  <c r="I99" i="14"/>
  <c r="J99" i="14"/>
  <c r="I91" i="14"/>
  <c r="J91" i="14"/>
  <c r="I92" i="14"/>
  <c r="J92" i="14"/>
  <c r="I114" i="14"/>
  <c r="J114" i="14"/>
  <c r="I93" i="14"/>
  <c r="J93" i="14"/>
  <c r="I77" i="14"/>
  <c r="J77" i="14"/>
  <c r="I109" i="14"/>
  <c r="J109" i="14"/>
  <c r="I74" i="14"/>
  <c r="J74" i="14"/>
  <c r="I117" i="14"/>
  <c r="J117" i="14"/>
  <c r="I85" i="14"/>
  <c r="J85" i="14"/>
  <c r="I75" i="14"/>
  <c r="J75" i="14"/>
  <c r="I106" i="14"/>
  <c r="J106" i="14"/>
  <c r="I82" i="14"/>
  <c r="J82" i="14"/>
  <c r="I86" i="14"/>
  <c r="J86" i="14"/>
  <c r="I105" i="14"/>
  <c r="J105" i="14"/>
  <c r="I78" i="14"/>
  <c r="J78" i="14"/>
  <c r="I113" i="14"/>
  <c r="J113" i="14"/>
  <c r="I89" i="14"/>
  <c r="J89" i="14"/>
  <c r="I73" i="14"/>
  <c r="J73" i="14"/>
  <c r="I96" i="14"/>
  <c r="J96" i="14"/>
  <c r="I88" i="14"/>
  <c r="J88" i="14"/>
  <c r="I111" i="14"/>
  <c r="J111" i="14"/>
  <c r="I71" i="14"/>
  <c r="J71" i="14"/>
  <c r="I97" i="14"/>
  <c r="J97" i="14"/>
  <c r="I87" i="14"/>
  <c r="J87" i="14"/>
  <c r="I112" i="14"/>
  <c r="J112" i="14"/>
  <c r="I94" i="14"/>
  <c r="J94" i="14"/>
  <c r="I95" i="14"/>
  <c r="J95" i="14"/>
  <c r="I72" i="14"/>
  <c r="J72" i="14"/>
  <c r="I80" i="14"/>
  <c r="J80" i="14"/>
  <c r="I70" i="14"/>
  <c r="J70" i="14"/>
  <c r="I81" i="14"/>
  <c r="J81" i="14"/>
  <c r="I79" i="14"/>
  <c r="J79" i="14"/>
  <c r="I102" i="14"/>
  <c r="J102" i="14"/>
  <c r="I110" i="14"/>
  <c r="J110" i="14"/>
  <c r="I103" i="14"/>
  <c r="J103" i="14"/>
  <c r="I35" i="14"/>
  <c r="J35" i="14"/>
  <c r="I51" i="14"/>
  <c r="J51" i="14"/>
  <c r="I59" i="14"/>
  <c r="J59" i="14"/>
  <c r="I43" i="14"/>
  <c r="J43" i="14"/>
  <c r="I42" i="14"/>
  <c r="J42" i="14"/>
  <c r="I69" i="14"/>
  <c r="J69" i="14"/>
  <c r="I66" i="14"/>
  <c r="J66" i="14"/>
  <c r="I36" i="14"/>
  <c r="J36" i="14"/>
  <c r="I45" i="14"/>
  <c r="J45" i="14"/>
  <c r="I58" i="14"/>
  <c r="J58" i="14"/>
  <c r="I50" i="14"/>
  <c r="J50" i="14"/>
  <c r="I44" i="14"/>
  <c r="J44" i="14"/>
  <c r="I61" i="14"/>
  <c r="J61" i="14"/>
  <c r="I67" i="14"/>
  <c r="J67" i="14"/>
  <c r="I34" i="14"/>
  <c r="J34" i="14"/>
  <c r="I68" i="14"/>
  <c r="J68" i="14"/>
  <c r="I52" i="14"/>
  <c r="J52" i="14"/>
  <c r="I53" i="14"/>
  <c r="J53" i="14"/>
  <c r="I60" i="14"/>
  <c r="J60" i="14"/>
  <c r="I37" i="14"/>
  <c r="J37" i="14"/>
  <c r="I27" i="14"/>
  <c r="J27" i="14"/>
  <c r="I29" i="14"/>
  <c r="J29" i="14"/>
  <c r="I26" i="14"/>
  <c r="J26" i="14"/>
  <c r="I28" i="14"/>
  <c r="J28" i="14"/>
  <c r="I39" i="14"/>
  <c r="I62" i="14"/>
  <c r="I65" i="14"/>
  <c r="I30" i="14"/>
  <c r="I46" i="14"/>
  <c r="I38" i="14"/>
  <c r="I48" i="14"/>
  <c r="I57" i="14"/>
  <c r="I49" i="14"/>
  <c r="I31" i="14"/>
  <c r="I25" i="14"/>
  <c r="I24" i="14"/>
  <c r="I33" i="14"/>
  <c r="I54" i="14"/>
  <c r="I64" i="14"/>
  <c r="I47" i="14"/>
  <c r="I55" i="14"/>
  <c r="I41" i="14"/>
  <c r="I32" i="14"/>
  <c r="I63" i="14"/>
  <c r="I56" i="14"/>
  <c r="I23" i="14"/>
  <c r="I40" i="14"/>
  <c r="I22" i="14"/>
  <c r="G22" i="14"/>
  <c r="G102" i="14"/>
  <c r="H102" i="14"/>
  <c r="G84" i="14"/>
  <c r="H84" i="14"/>
  <c r="G48" i="14"/>
  <c r="H48" i="14"/>
  <c r="G79" i="14"/>
  <c r="H79" i="14"/>
  <c r="G96" i="14"/>
  <c r="H96" i="14"/>
  <c r="G47" i="14"/>
  <c r="H47" i="14"/>
  <c r="G85" i="14"/>
  <c r="H85" i="14"/>
  <c r="G92" i="14"/>
  <c r="H92" i="14"/>
  <c r="G72" i="14"/>
  <c r="H72" i="14"/>
  <c r="G104" i="14"/>
  <c r="H104" i="14"/>
  <c r="F66" i="14"/>
  <c r="F22" i="14"/>
  <c r="E22" i="14"/>
  <c r="F27" i="14"/>
  <c r="F3" i="5"/>
  <c r="F3" i="6"/>
  <c r="B3" i="14" l="1"/>
  <c r="B4" i="14"/>
  <c r="B5" i="14"/>
  <c r="B9" i="14"/>
  <c r="B8" i="14"/>
  <c r="K11" i="6" l="1"/>
  <c r="G80" i="6" l="1"/>
  <c r="G37" i="6"/>
  <c r="G38" i="5" l="1"/>
  <c r="I33" i="6" l="1"/>
  <c r="H35" i="6" s="1"/>
  <c r="J15" i="6"/>
  <c r="K11" i="35" l="1"/>
  <c r="H36" i="5"/>
  <c r="J25" i="5" s="1"/>
  <c r="H36" i="6"/>
  <c r="H34" i="6"/>
  <c r="K11" i="28" l="1"/>
  <c r="J13" i="28" s="1"/>
  <c r="K11" i="24"/>
  <c r="J13" i="24" s="1"/>
  <c r="J13" i="35"/>
  <c r="J12" i="35"/>
  <c r="J14" i="35"/>
  <c r="K11" i="25"/>
  <c r="K11" i="27"/>
  <c r="K11" i="26"/>
  <c r="H37" i="6"/>
  <c r="H37" i="5"/>
  <c r="G32" i="5"/>
  <c r="I18" i="26" l="1"/>
  <c r="J12" i="26"/>
  <c r="J15" i="26"/>
  <c r="J12" i="27"/>
  <c r="G27" i="27" s="1"/>
  <c r="J13" i="27"/>
  <c r="G28" i="27" s="1"/>
  <c r="J12" i="25"/>
  <c r="J13" i="25"/>
  <c r="J14" i="24"/>
  <c r="I19" i="24"/>
  <c r="J15" i="24"/>
  <c r="J12" i="24"/>
  <c r="J16" i="24"/>
  <c r="H38" i="5"/>
  <c r="G29" i="27" l="1"/>
  <c r="H20" i="24"/>
  <c r="H21" i="24"/>
  <c r="H19" i="26"/>
  <c r="H20" i="26"/>
  <c r="J13" i="26" s="1"/>
  <c r="I77" i="6"/>
  <c r="J18" i="6"/>
  <c r="J17" i="6"/>
  <c r="J16" i="6"/>
  <c r="J14" i="6"/>
  <c r="J13" i="6"/>
  <c r="J12" i="6"/>
  <c r="J14" i="26" l="1"/>
  <c r="H21" i="26"/>
  <c r="H79" i="6"/>
  <c r="H78" i="6"/>
  <c r="H80" i="6" l="1"/>
  <c r="H31" i="5" l="1"/>
  <c r="J24" i="5" s="1"/>
  <c r="H30" i="5"/>
  <c r="J23" i="5" s="1"/>
  <c r="H32" i="5" l="1"/>
</calcChain>
</file>

<file path=xl/sharedStrings.xml><?xml version="1.0" encoding="utf-8"?>
<sst xmlns="http://schemas.openxmlformats.org/spreadsheetml/2006/main" count="2934" uniqueCount="1578">
  <si>
    <r>
      <t>AlloSeq</t>
    </r>
    <r>
      <rPr>
        <b/>
        <sz val="26"/>
        <color rgb="FFC00000"/>
        <rFont val="Calibri"/>
        <family val="2"/>
      </rPr>
      <t xml:space="preserve"> </t>
    </r>
    <r>
      <rPr>
        <b/>
        <sz val="26"/>
        <color rgb="FFC00000"/>
        <rFont val="Calibri"/>
        <family val="2"/>
        <scheme val="minor"/>
      </rPr>
      <t>Tx</t>
    </r>
  </si>
  <si>
    <t>Assay Workbook</t>
  </si>
  <si>
    <t>IFU095-5-CS</t>
  </si>
  <si>
    <t>Číslo verze: 1.0</t>
  </si>
  <si>
    <t>ASTX17.1(24)-IVD</t>
  </si>
  <si>
    <t>ASTX17.1(24)-B-IVD</t>
  </si>
  <si>
    <t>ASTX17.1(96)-A-IVD</t>
  </si>
  <si>
    <t>ASTX17.1(96)-B-IVD</t>
  </si>
  <si>
    <t>ASTX9.1(96)-A-IVD</t>
  </si>
  <si>
    <t>ASTX9.1(96)-B-IVD</t>
  </si>
  <si>
    <t>CareDx Pty Ltd</t>
  </si>
  <si>
    <t>CareDx AB,</t>
  </si>
  <si>
    <t>Qarad BV,</t>
  </si>
  <si>
    <t>20 Collie St.</t>
  </si>
  <si>
    <t>Franzéngatan 5</t>
  </si>
  <si>
    <t>Cipalstraat 3</t>
  </si>
  <si>
    <t>Fremantle WA 6160</t>
  </si>
  <si>
    <t>SE-112 51</t>
  </si>
  <si>
    <t>2440 Geel</t>
  </si>
  <si>
    <t>Australia</t>
  </si>
  <si>
    <t xml:space="preserve">Stockholm, Sweden            </t>
  </si>
  <si>
    <t xml:space="preserve">Belgium </t>
  </si>
  <si>
    <t>© 2021-2024 CareDx, Inc. Veškeré služební značky nebo ochranné známky jsou ve vlastnictví nebo jsou předmětem licence společnosti CareDx, Inc. nebo jejími pobočkami.</t>
  </si>
  <si>
    <t>Probe_Set</t>
  </si>
  <si>
    <t>Sequencer</t>
  </si>
  <si>
    <t>i7_IndexNames</t>
  </si>
  <si>
    <t>i7_IndexSequences</t>
  </si>
  <si>
    <t>i5_IndexNames</t>
  </si>
  <si>
    <t>i5_IndexSequences</t>
  </si>
  <si>
    <t>Wells 96</t>
  </si>
  <si>
    <t>Cell Reference</t>
  </si>
  <si>
    <t>Wells 24</t>
  </si>
  <si>
    <t>Kit</t>
  </si>
  <si>
    <t>Select</t>
  </si>
  <si>
    <t>A1</t>
  </si>
  <si>
    <t>G24</t>
  </si>
  <si>
    <t>AlloSeqTx17.1</t>
  </si>
  <si>
    <t>MiSeq</t>
  </si>
  <si>
    <t>H705</t>
  </si>
  <si>
    <t>GGACTCCT</t>
  </si>
  <si>
    <t>H503</t>
  </si>
  <si>
    <t>TATCCTCT</t>
  </si>
  <si>
    <t>B1</t>
  </si>
  <si>
    <t>G25</t>
  </si>
  <si>
    <t>A2</t>
  </si>
  <si>
    <t>H24</t>
  </si>
  <si>
    <t>AlloSeqTx9.1</t>
  </si>
  <si>
    <t>MiniSeq</t>
  </si>
  <si>
    <t>H706</t>
  </si>
  <si>
    <t>TAGGCATG</t>
  </si>
  <si>
    <t>H505</t>
  </si>
  <si>
    <t>GTAAGGAG</t>
  </si>
  <si>
    <t>C1</t>
  </si>
  <si>
    <t>G26</t>
  </si>
  <si>
    <t>A3</t>
  </si>
  <si>
    <t>I24</t>
  </si>
  <si>
    <t>iSeq</t>
  </si>
  <si>
    <t>H707</t>
  </si>
  <si>
    <t>CTCTCTAC</t>
  </si>
  <si>
    <t>H506</t>
  </si>
  <si>
    <t>ACTGCATA</t>
  </si>
  <si>
    <t>D1</t>
  </si>
  <si>
    <t>G27</t>
  </si>
  <si>
    <t>A4</t>
  </si>
  <si>
    <t>J24</t>
  </si>
  <si>
    <t>H710</t>
  </si>
  <si>
    <t>CGAGGCTG</t>
  </si>
  <si>
    <t>H517</t>
  </si>
  <si>
    <t>GCGTAAGA</t>
  </si>
  <si>
    <t>E1</t>
  </si>
  <si>
    <t>G28</t>
  </si>
  <si>
    <t>A5</t>
  </si>
  <si>
    <t>K24</t>
  </si>
  <si>
    <t>H711</t>
  </si>
  <si>
    <t>AAGAGGCA</t>
  </si>
  <si>
    <t>H502</t>
  </si>
  <si>
    <t>CTCTCTAT</t>
  </si>
  <si>
    <t>F1</t>
  </si>
  <si>
    <t>G29</t>
  </si>
  <si>
    <t>A6</t>
  </si>
  <si>
    <t>L24</t>
  </si>
  <si>
    <t>H714</t>
  </si>
  <si>
    <t>GCTCATGA</t>
  </si>
  <si>
    <t>H507</t>
  </si>
  <si>
    <t>AAGGAGTA</t>
  </si>
  <si>
    <t>G1</t>
  </si>
  <si>
    <t>G30</t>
  </si>
  <si>
    <t>H701</t>
  </si>
  <si>
    <t>TAAGGCGA</t>
  </si>
  <si>
    <t>H508</t>
  </si>
  <si>
    <t>CTAAGCCT</t>
  </si>
  <si>
    <t>H1</t>
  </si>
  <si>
    <t>G31</t>
  </si>
  <si>
    <t>B2</t>
  </si>
  <si>
    <t>H25</t>
  </si>
  <si>
    <t>AlloSeqTx17.2</t>
  </si>
  <si>
    <t>H702</t>
  </si>
  <si>
    <t>CGTACTAG</t>
  </si>
  <si>
    <t>H521</t>
  </si>
  <si>
    <t>GAGCCTTA</t>
  </si>
  <si>
    <t>B3</t>
  </si>
  <si>
    <t>I25</t>
  </si>
  <si>
    <t>AlloSeqTx8.1</t>
  </si>
  <si>
    <t>H703</t>
  </si>
  <si>
    <t>AGGCAGAA</t>
  </si>
  <si>
    <t>H510</t>
  </si>
  <si>
    <t>CGTCTAAT</t>
  </si>
  <si>
    <t>B4</t>
  </si>
  <si>
    <t>J25</t>
  </si>
  <si>
    <t>AlloSeqTxKIR</t>
  </si>
  <si>
    <t>H704</t>
  </si>
  <si>
    <t>TCCTGAGC</t>
  </si>
  <si>
    <t>H511</t>
  </si>
  <si>
    <t>TCTCTCCG</t>
  </si>
  <si>
    <t>C2</t>
  </si>
  <si>
    <t>H26</t>
  </si>
  <si>
    <t>B5</t>
  </si>
  <si>
    <t>K25</t>
  </si>
  <si>
    <t>H712</t>
  </si>
  <si>
    <t>GTAGAGGA</t>
  </si>
  <si>
    <t>H513</t>
  </si>
  <si>
    <t>TCGACTAG</t>
  </si>
  <si>
    <t>D2</t>
  </si>
  <si>
    <t>H27</t>
  </si>
  <si>
    <t>B6</t>
  </si>
  <si>
    <t>L25</t>
  </si>
  <si>
    <t>H715</t>
  </si>
  <si>
    <t>ATCTCAGG</t>
  </si>
  <si>
    <t>H522</t>
  </si>
  <si>
    <t>TTATGCGA</t>
  </si>
  <si>
    <t>E2</t>
  </si>
  <si>
    <t>H28</t>
  </si>
  <si>
    <t>H716</t>
  </si>
  <si>
    <t>ACTCGCTA</t>
  </si>
  <si>
    <t>H515</t>
  </si>
  <si>
    <t>TTCTAGCT</t>
  </si>
  <si>
    <t>F2</t>
  </si>
  <si>
    <t>H29</t>
  </si>
  <si>
    <t>H718</t>
  </si>
  <si>
    <t>GGAGCTAC</t>
  </si>
  <si>
    <t>H516</t>
  </si>
  <si>
    <t>CCTAGAGT</t>
  </si>
  <si>
    <t>G2</t>
  </si>
  <si>
    <t>H30</t>
  </si>
  <si>
    <t>C3</t>
  </si>
  <si>
    <t>I26</t>
  </si>
  <si>
    <t>H719</t>
  </si>
  <si>
    <t>GCGTAGTA</t>
  </si>
  <si>
    <t>H518</t>
  </si>
  <si>
    <t>CTATTAAG</t>
  </si>
  <si>
    <t>H2</t>
  </si>
  <si>
    <t>H31</t>
  </si>
  <si>
    <t>C4</t>
  </si>
  <si>
    <t>J26</t>
  </si>
  <si>
    <t>H720</t>
  </si>
  <si>
    <t>CGGAGCCT</t>
  </si>
  <si>
    <t>H520</t>
  </si>
  <si>
    <t>AAGGCTAT</t>
  </si>
  <si>
    <t>C5</t>
  </si>
  <si>
    <t>K26</t>
  </si>
  <si>
    <t>H721</t>
  </si>
  <si>
    <t>TACGCTGC</t>
  </si>
  <si>
    <t>C6</t>
  </si>
  <si>
    <t>L26</t>
  </si>
  <si>
    <t>H722</t>
  </si>
  <si>
    <t>ATGCGCAG</t>
  </si>
  <si>
    <t>H723</t>
  </si>
  <si>
    <t>TAGCGCTC</t>
  </si>
  <si>
    <t>D3</t>
  </si>
  <si>
    <t>I27</t>
  </si>
  <si>
    <t>H724</t>
  </si>
  <si>
    <t>ACTGAGCG</t>
  </si>
  <si>
    <t>E3</t>
  </si>
  <si>
    <t>I28</t>
  </si>
  <si>
    <t>H726</t>
  </si>
  <si>
    <t>CCTAAGAC</t>
  </si>
  <si>
    <t>F3</t>
  </si>
  <si>
    <t>I29</t>
  </si>
  <si>
    <t>D4</t>
  </si>
  <si>
    <t>J27</t>
  </si>
  <si>
    <t>H727</t>
  </si>
  <si>
    <t>CGATCAGT</t>
  </si>
  <si>
    <t>G3</t>
  </si>
  <si>
    <t>I30</t>
  </si>
  <si>
    <t>D5</t>
  </si>
  <si>
    <t>K27</t>
  </si>
  <si>
    <t>H728</t>
  </si>
  <si>
    <t>TGCAGCTA</t>
  </si>
  <si>
    <t>H3</t>
  </si>
  <si>
    <t>I31</t>
  </si>
  <si>
    <t>D6</t>
  </si>
  <si>
    <t>L27</t>
  </si>
  <si>
    <t>H729</t>
  </si>
  <si>
    <t>TCGACGTC</t>
  </si>
  <si>
    <t>E4</t>
  </si>
  <si>
    <t>J28</t>
  </si>
  <si>
    <t>F4</t>
  </si>
  <si>
    <t>J29</t>
  </si>
  <si>
    <t>G4</t>
  </si>
  <si>
    <t>J30</t>
  </si>
  <si>
    <t>H4</t>
  </si>
  <si>
    <t>J31</t>
  </si>
  <si>
    <t>E5</t>
  </si>
  <si>
    <t>K28</t>
  </si>
  <si>
    <t>F5</t>
  </si>
  <si>
    <t>K29</t>
  </si>
  <si>
    <t>G5</t>
  </si>
  <si>
    <t>K30</t>
  </si>
  <si>
    <t>H5</t>
  </si>
  <si>
    <t>K31</t>
  </si>
  <si>
    <t>E6</t>
  </si>
  <si>
    <t>L28</t>
  </si>
  <si>
    <t>F6</t>
  </si>
  <si>
    <t>L29</t>
  </si>
  <si>
    <t>G6</t>
  </si>
  <si>
    <t>L30</t>
  </si>
  <si>
    <t>H6</t>
  </si>
  <si>
    <t>L31</t>
  </si>
  <si>
    <t>A7</t>
  </si>
  <si>
    <t>M24</t>
  </si>
  <si>
    <t>B7</t>
  </si>
  <si>
    <t>M25</t>
  </si>
  <si>
    <t>C7</t>
  </si>
  <si>
    <t>M26</t>
  </si>
  <si>
    <t>D7</t>
  </si>
  <si>
    <t>M27</t>
  </si>
  <si>
    <t>E7</t>
  </si>
  <si>
    <t>M28</t>
  </si>
  <si>
    <t>F7</t>
  </si>
  <si>
    <t>M29</t>
  </si>
  <si>
    <t>G7</t>
  </si>
  <si>
    <t>M30</t>
  </si>
  <si>
    <t>H7</t>
  </si>
  <si>
    <t>M31</t>
  </si>
  <si>
    <t>A8</t>
  </si>
  <si>
    <t>N24</t>
  </si>
  <si>
    <t>B8</t>
  </si>
  <si>
    <t>N25</t>
  </si>
  <si>
    <t>C8</t>
  </si>
  <si>
    <t>N26</t>
  </si>
  <si>
    <t>D8</t>
  </si>
  <si>
    <t>N27</t>
  </si>
  <si>
    <t>E8</t>
  </si>
  <si>
    <t>N28</t>
  </si>
  <si>
    <t>F8</t>
  </si>
  <si>
    <t>N29</t>
  </si>
  <si>
    <t>G8</t>
  </si>
  <si>
    <t>N30</t>
  </si>
  <si>
    <t>H8</t>
  </si>
  <si>
    <t>N31</t>
  </si>
  <si>
    <t>A9</t>
  </si>
  <si>
    <t>O24</t>
  </si>
  <si>
    <t>B9</t>
  </si>
  <si>
    <t>O25</t>
  </si>
  <si>
    <t>C9</t>
  </si>
  <si>
    <t>O26</t>
  </si>
  <si>
    <t>D9</t>
  </si>
  <si>
    <t>O27</t>
  </si>
  <si>
    <t>E9</t>
  </si>
  <si>
    <t>O28</t>
  </si>
  <si>
    <t>F9</t>
  </si>
  <si>
    <t>O29</t>
  </si>
  <si>
    <t>G9</t>
  </si>
  <si>
    <t>O30</t>
  </si>
  <si>
    <t>H9</t>
  </si>
  <si>
    <t>O31</t>
  </si>
  <si>
    <t>A10</t>
  </si>
  <si>
    <t>P24</t>
  </si>
  <si>
    <t>B10</t>
  </si>
  <si>
    <t>P25</t>
  </si>
  <si>
    <t>C10</t>
  </si>
  <si>
    <t>P26</t>
  </si>
  <si>
    <t>D10</t>
  </si>
  <si>
    <t>P27</t>
  </si>
  <si>
    <t>E10</t>
  </si>
  <si>
    <t>P28</t>
  </si>
  <si>
    <t>F10</t>
  </si>
  <si>
    <t>P29</t>
  </si>
  <si>
    <t>G10</t>
  </si>
  <si>
    <t>P30</t>
  </si>
  <si>
    <t>H10</t>
  </si>
  <si>
    <t>P31</t>
  </si>
  <si>
    <t>A11</t>
  </si>
  <si>
    <t>Q24</t>
  </si>
  <si>
    <t>B11</t>
  </si>
  <si>
    <t>Q25</t>
  </si>
  <si>
    <t>C11</t>
  </si>
  <si>
    <t>Q26</t>
  </si>
  <si>
    <t>D11</t>
  </si>
  <si>
    <t>Q27</t>
  </si>
  <si>
    <t>E11</t>
  </si>
  <si>
    <t>Q28</t>
  </si>
  <si>
    <t>F11</t>
  </si>
  <si>
    <t>Q29</t>
  </si>
  <si>
    <t>G11</t>
  </si>
  <si>
    <t>Q30</t>
  </si>
  <si>
    <t>H11</t>
  </si>
  <si>
    <t>Q31</t>
  </si>
  <si>
    <t>A12</t>
  </si>
  <si>
    <t>R24</t>
  </si>
  <si>
    <t>B12</t>
  </si>
  <si>
    <t>R25</t>
  </si>
  <si>
    <t>C12</t>
  </si>
  <si>
    <t>R26</t>
  </si>
  <si>
    <t>D12</t>
  </si>
  <si>
    <t>R27</t>
  </si>
  <si>
    <t>E12</t>
  </si>
  <si>
    <t>R28</t>
  </si>
  <si>
    <t>F12</t>
  </si>
  <si>
    <t>R29</t>
  </si>
  <si>
    <t>G12</t>
  </si>
  <si>
    <t>R30</t>
  </si>
  <si>
    <t>H12</t>
  </si>
  <si>
    <t>R31</t>
  </si>
  <si>
    <t>Product Code</t>
  </si>
  <si>
    <t>A</t>
  </si>
  <si>
    <t>B</t>
  </si>
  <si>
    <t>C</t>
  </si>
  <si>
    <t>D</t>
  </si>
  <si>
    <t>E</t>
  </si>
  <si>
    <t>F</t>
  </si>
  <si>
    <t>G</t>
  </si>
  <si>
    <t>H</t>
  </si>
  <si>
    <t>01</t>
  </si>
  <si>
    <t>02</t>
  </si>
  <si>
    <t>03</t>
  </si>
  <si>
    <t>04</t>
  </si>
  <si>
    <t>05</t>
  </si>
  <si>
    <t>06</t>
  </si>
  <si>
    <t>07</t>
  </si>
  <si>
    <t>08</t>
  </si>
  <si>
    <t>09</t>
  </si>
  <si>
    <t>10</t>
  </si>
  <si>
    <t>11</t>
  </si>
  <si>
    <t>12</t>
  </si>
  <si>
    <t>2.0 Library_Prep Lookup</t>
  </si>
  <si>
    <t>Select index set on 1.0 Sample_Prep tab.</t>
  </si>
  <si>
    <t>24 Set A Indexes</t>
  </si>
  <si>
    <t>24 Set B Indexes</t>
  </si>
  <si>
    <t>96 Set A Indexes</t>
  </si>
  <si>
    <t>96 Set B Indexes</t>
  </si>
  <si>
    <t>96 Set C Indexes</t>
  </si>
  <si>
    <t>96 Set D Indexes</t>
  </si>
  <si>
    <t>IMPORT SEZNAMU VZORKŮ</t>
  </si>
  <si>
    <t>Seznam vzorků:</t>
  </si>
  <si>
    <t>Níže uvedené makro lze použít k importu seznamů vzorků z excelového souboru.</t>
  </si>
  <si>
    <t>POZNÁMKA: Seznam vzorků musí být umístěn ve sloupci A s počáteční buňkou A1.  Nezačleňujte záhlaví sloupce.</t>
  </si>
  <si>
    <t>V případě potřeby klikněte na tlačítko „Enable Makros“ (povolit makra) nacházející se ve žluté liště výše.</t>
  </si>
  <si>
    <t>Klikněte na tlačítko „Import Sample List“ (importovat seznam vzorků) vpravo.</t>
  </si>
  <si>
    <t>Vyhledejte seznam a klikněte na tlačítko Otevřít.</t>
  </si>
  <si>
    <t>Zkontrolujte názvy vzorků v seznamu vpravo.</t>
  </si>
  <si>
    <t>Vyberte Typ kitu níže.</t>
  </si>
  <si>
    <t>Vyberte počáteční jamku.  POZNÁMKA: 24vzorkové kity zaujímají pozice zleva doprava: A1, A2, A3.</t>
  </si>
  <si>
    <t>96vzorkové kity zaujímají pozice shora dolů: A1, B1, C1.</t>
  </si>
  <si>
    <t>Klikněte na tlačítko „Build Plate Map“ (vytvořit rozvržení destičky) pro vygenerování rozvržení destičky</t>
  </si>
  <si>
    <t>Klikněte na kartu „1.0 Sample_Prep" a zkontrolujte Plate Layout (rozvržení destičky).</t>
  </si>
  <si>
    <t>Vyberte typ kitu:</t>
  </si>
  <si>
    <t>Vyberte počáteční jamku:</t>
  </si>
  <si>
    <t>KONEC IMPORTU SEZNAMU VZORKŮ. POKRAČUJTE PODLE PROTOKOLU.</t>
  </si>
  <si>
    <t>ALLOSEQ TX - PŘÍPRAVA VZORKŮ</t>
  </si>
  <si>
    <t>ID experimentu:</t>
  </si>
  <si>
    <t>Zadejte</t>
  </si>
  <si>
    <t>POZNÁMKA: ZELENÁ pole musí vyplnit operátor během nastavení.</t>
  </si>
  <si>
    <t>Popis:</t>
  </si>
  <si>
    <t>POZNÁMKA: ORANŽOVÁ pole je nutno před tiskem vybrat z rozevírací nabídky.</t>
  </si>
  <si>
    <t>Sada prób/specifikace kitu:</t>
  </si>
  <si>
    <t>POZNÁMKA: ŽLUTÁ pole je nutno před tiskem vyplnit.</t>
  </si>
  <si>
    <t>Sekvenátor:</t>
  </si>
  <si>
    <t>Počet vzorků:</t>
  </si>
  <si>
    <t>Operátor:</t>
  </si>
  <si>
    <t>Datum:</t>
  </si>
  <si>
    <t>Nastavení experimentu</t>
  </si>
  <si>
    <t>Do výše uvedených žlutých polí zadejte ID experimentu, popis, jméno operátora a datum.</t>
  </si>
  <si>
    <t>Z rozevírací nabídky uvedené výše vyberte sadu prób, která má být použita v experimentu.</t>
  </si>
  <si>
    <t>Z výše uvedeného rozevíracího seznamu vyberte typ sekvenátoru, který chcete použít. Po výběru typu sekvenátoru se v sešitu zobrazí pokyny pro sekvenování.</t>
  </si>
  <si>
    <r>
      <t xml:space="preserve">Zadejte ID vzorků, které mají být testovány, do žluté části Plate Layout uvedené níže v souladu s požadovanou konfigurací.
</t>
    </r>
    <r>
      <rPr>
        <b/>
        <sz val="11"/>
        <color theme="1"/>
        <rFont val="Calibri"/>
        <family val="2"/>
        <scheme val="minor"/>
      </rPr>
      <t>POZNÁMKA:</t>
    </r>
    <r>
      <rPr>
        <sz val="11"/>
        <color theme="1"/>
        <rFont val="Calibri"/>
        <family val="2"/>
        <scheme val="minor"/>
      </rPr>
      <t xml:space="preserve"> Je možno zadat pouze alfanumerické znaky.
</t>
    </r>
    <r>
      <rPr>
        <b/>
        <sz val="11"/>
        <color theme="1"/>
        <rFont val="Calibri"/>
        <family val="2"/>
        <scheme val="minor"/>
      </rPr>
      <t>POZNÁMKA:</t>
    </r>
    <r>
      <rPr>
        <sz val="11"/>
        <color theme="1"/>
        <rFont val="Calibri"/>
        <family val="2"/>
        <scheme val="minor"/>
      </rPr>
      <t xml:space="preserve"> Duplicitní ID vzorků budou označeny červeně proto, aby byl uživatel upozorněn na nutnost provedení opravy. Požadavkem softwaru sekvenátoru je, aby měl při spuštění pouze jedinečná ID vzorků.
</t>
    </r>
    <r>
      <rPr>
        <b/>
        <sz val="11"/>
        <color theme="1"/>
        <rFont val="Calibri"/>
        <family val="2"/>
        <scheme val="minor"/>
      </rPr>
      <t>POZNÁMKA:</t>
    </r>
    <r>
      <rPr>
        <sz val="11"/>
        <color theme="1"/>
        <rFont val="Calibri"/>
        <family val="2"/>
        <scheme val="minor"/>
      </rPr>
      <t xml:space="preserve"> Nezadávejte informace do pozic, které nebudou obsahovat vzorky.</t>
    </r>
  </si>
  <si>
    <t>Vyberte požadovanou indexovou sadu z oranžové rozevírací nabídky pod položkou Plate Layout.</t>
  </si>
  <si>
    <r>
      <t xml:space="preserve">Pokud je to třeba, lze upravit pořadí indexu i7 tak, že vyberete alternativní index i7z možností rozevírací nabídky pro požadovaný sloupec.
</t>
    </r>
    <r>
      <rPr>
        <b/>
        <sz val="11"/>
        <color rgb="FF000000"/>
        <rFont val="Calibri"/>
        <family val="2"/>
        <scheme val="minor"/>
      </rPr>
      <t xml:space="preserve">POZNÁMKA: </t>
    </r>
    <r>
      <rPr>
        <sz val="11"/>
        <color rgb="FF000000"/>
        <rFont val="Calibri"/>
        <family val="2"/>
        <scheme val="minor"/>
      </rPr>
      <t>Pokud jsou vybrány duplicitní indexy i7, budou buňky označeny červeně tak, aby byl uživatel upozorněn na nutnost provedení opravy.</t>
    </r>
  </si>
  <si>
    <r>
      <t xml:space="preserve">Pokud je to třeba, lze upravit pořadí indexu i5 tak, že vyberete alternativní index i5 z možností rozevírací nabídky pro požadovaný řádek.
</t>
    </r>
    <r>
      <rPr>
        <b/>
        <sz val="11"/>
        <color rgb="FF000000"/>
        <rFont val="Calibri"/>
        <family val="2"/>
        <scheme val="minor"/>
      </rPr>
      <t xml:space="preserve">POZNÁMKA: </t>
    </r>
    <r>
      <rPr>
        <sz val="11"/>
        <color rgb="FF000000"/>
        <rFont val="Calibri"/>
        <family val="2"/>
        <scheme val="minor"/>
      </rPr>
      <t>Pokud jsou vybrány duplicitní indexy i5, budou buňky označeny červeně tak, aby byl uživatel upozorněn na nutnost provedení opravy.</t>
    </r>
  </si>
  <si>
    <t>Po dokončení všech výše uvedených činností klikněte na kartu 1.2 SampleSheet a proveďte kontrolu. Červený text označuje místa, kde je nutné informace doplnit. Pokud není patrný žádný červený text, pak lze kartu SampleSheet uložit jako CSV (Comma delimited) (*.csv). Spusťte makro exportu kliknutím na tlačítko „Export“ a vygenerujte soubor csv.  Případně postupujte podle následujících kroků a uložte soubor ručně:
Uložte soubor jako „SampleSheet.csv“. Uložením ve formátu csv se uloží pouze aktivní karta.
Otevřete uložený soubor SampleSheet.csv v Excelu a odstraňte všechny prázdné řádky (sekce [Data])v oblasti řádků 22 až 117, které neobsahují informace o vzorku. Jakmile to uděláte, soubor uložte. Seznam vzorků je poté připraven k importu pro sekvenování na sekvenátoru Illumina.</t>
  </si>
  <si>
    <t>PLATE LAYOUT</t>
  </si>
  <si>
    <t>POKRAČUJTE V PŘÍPRAVĚ KNIHOVNY.</t>
  </si>
  <si>
    <t>ImportData!A1</t>
  </si>
  <si>
    <t>ImportData!A2</t>
  </si>
  <si>
    <t>ImportData!A3</t>
  </si>
  <si>
    <t>ImportData!A4</t>
  </si>
  <si>
    <t>ImportData!A5</t>
  </si>
  <si>
    <t>ImportData!A6</t>
  </si>
  <si>
    <t>ImportData!A7</t>
  </si>
  <si>
    <t>ImportData!A8</t>
  </si>
  <si>
    <t>ImportData!A9</t>
  </si>
  <si>
    <t>ImportData!A10</t>
  </si>
  <si>
    <t>ImportData!A11</t>
  </si>
  <si>
    <t>ImportData!A12</t>
  </si>
  <si>
    <t>ImportData!A13</t>
  </si>
  <si>
    <t>ImportData!A14</t>
  </si>
  <si>
    <t>ImportData!A15</t>
  </si>
  <si>
    <t>ImportData!A16</t>
  </si>
  <si>
    <t>ImportData!A17</t>
  </si>
  <si>
    <t>ImportData!A18</t>
  </si>
  <si>
    <t>ImportData!A19</t>
  </si>
  <si>
    <t>ImportData!A20</t>
  </si>
  <si>
    <t>ImportData!A21</t>
  </si>
  <si>
    <t>ImportData!A22</t>
  </si>
  <si>
    <t>ImportData!A23</t>
  </si>
  <si>
    <t>ImportData!A24</t>
  </si>
  <si>
    <t>ROZVRŽENÍ VZORKŮ – LINEÁRNÍ POHLED</t>
  </si>
  <si>
    <t>Sample #</t>
  </si>
  <si>
    <t>Well #</t>
  </si>
  <si>
    <t>Sample_ID</t>
  </si>
  <si>
    <t>Sample_Name</t>
  </si>
  <si>
    <t>Sample_Plate</t>
  </si>
  <si>
    <t>Sample_Well</t>
  </si>
  <si>
    <t>I7_Index_ID</t>
  </si>
  <si>
    <t>index</t>
  </si>
  <si>
    <t>I5_Index_ID</t>
  </si>
  <si>
    <t>index2</t>
  </si>
  <si>
    <t>Sample_Project</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</si>
  <si>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</si>
  <si>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</si>
  <si>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</si>
  <si>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</si>
  <si>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</si>
  <si>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</si>
  <si>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</si>
  <si>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</si>
  <si>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</si>
  <si>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</si>
  <si>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</si>
  <si>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</si>
  <si>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</si>
  <si>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</si>
  <si>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</si>
  <si>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</si>
  <si>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</si>
  <si>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</si>
  <si>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</si>
  <si>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</si>
  <si>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</si>
  <si>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</si>
  <si>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</si>
  <si>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</si>
  <si>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</si>
  <si>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</si>
  <si>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</si>
  <si>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</si>
  <si>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</si>
  <si>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</si>
  <si>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</si>
  <si>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</si>
  <si>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</si>
  <si>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</si>
  <si>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</si>
  <si>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</si>
  <si>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</si>
  <si>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</si>
  <si>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</si>
  <si>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</si>
  <si>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</si>
  <si>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</si>
  <si>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</si>
  <si>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</si>
  <si>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</si>
  <si>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</si>
  <si>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</si>
  <si>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</si>
  <si>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</si>
  <si>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</si>
  <si>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</si>
  <si>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</si>
  <si>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</si>
  <si>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</si>
  <si>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</si>
  <si>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</si>
  <si>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</si>
  <si>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</si>
  <si>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</si>
  <si>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</si>
  <si>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</si>
  <si>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</si>
  <si>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</si>
  <si>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</si>
  <si>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</si>
  <si>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</si>
  <si>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</si>
  <si>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</si>
  <si>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</si>
  <si>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</si>
  <si>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</si>
  <si>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</si>
  <si>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UKONČIT ROZVRŽENÍ VZORKŮ</t>
  </si>
  <si>
    <t>[Header]</t>
  </si>
  <si>
    <t>IEMFileVersion</t>
  </si>
  <si>
    <t>Investigator Name</t>
  </si>
  <si>
    <t>Experiment Name</t>
  </si>
  <si>
    <t>Date</t>
  </si>
  <si>
    <t>Workflow</t>
  </si>
  <si>
    <t>GenerateFASTQ</t>
  </si>
  <si>
    <t>Application</t>
  </si>
  <si>
    <t>FASTQ Only</t>
  </si>
  <si>
    <t>Instrument Type</t>
  </si>
  <si>
    <t>Assay</t>
  </si>
  <si>
    <t>Description</t>
  </si>
  <si>
    <t>Chemistry</t>
  </si>
  <si>
    <t>Amplicon</t>
  </si>
  <si>
    <t>[Settings]</t>
  </si>
  <si>
    <t>[Reads]</t>
  </si>
  <si>
    <t>[Data]</t>
  </si>
  <si>
    <t>Autolauncher_Project</t>
  </si>
  <si>
    <t>ALLOSEQ TX – PŘÍPRAVA KNIHOVNY</t>
  </si>
  <si>
    <t>Čas zahájení:</t>
  </si>
  <si>
    <t>PŘÍPRAVA REAGENCIÍ A EVIDENCE ŠARŽÍ</t>
  </si>
  <si>
    <t>Vezměte požadované reagencie (objem je uveden v tabulce níže) a připravte je podle tabulky:</t>
  </si>
  <si>
    <t>Reagencie</t>
  </si>
  <si>
    <t>Šarže # a datum exspirace</t>
  </si>
  <si>
    <t>Podmínky skladování</t>
  </si>
  <si>
    <t>Objem pro 1 vzorek (μl)</t>
  </si>
  <si>
    <t>Objem pro # požadovaných vzorků (μl):</t>
  </si>
  <si>
    <t>Požadovaná příprava</t>
  </si>
  <si>
    <t>Tagmentation Buffer</t>
  </si>
  <si>
    <t>–15 °C až –25 °C
KRABIČKA 1
BOX 1</t>
  </si>
  <si>
    <t xml:space="preserve">Dejte do pokojové teploty             </t>
  </si>
  <si>
    <t>Sterile Water</t>
  </si>
  <si>
    <t>15 °C až 30 °C
Dodáno uživatelem
User supplied</t>
  </si>
  <si>
    <t>Žádná příprava se nepožaduje.</t>
  </si>
  <si>
    <t>Tagmentation Beads</t>
  </si>
  <si>
    <t>Nechte při pokojové teplotě po dobu alespoň 30 minut.</t>
  </si>
  <si>
    <t>Stop Buffer</t>
  </si>
  <si>
    <t>15 °C až 30 °C
KRABIČKA 2
BOX 2</t>
  </si>
  <si>
    <t xml:space="preserve">Žádná příprava se nepožaduje.             </t>
  </si>
  <si>
    <t>Tagmentation Wash Buffer</t>
  </si>
  <si>
    <t xml:space="preserve">Žádná příprava se nepožaduje.         </t>
  </si>
  <si>
    <t>PCR Mix 
(nebo PCR Mix-1 u kitů na 96 reakcí)</t>
  </si>
  <si>
    <t>–15 °C až –25 °C
KRABIČKA 4 (nebo KRABIČKA 1)
BOX 4 (or BOX 1)</t>
  </si>
  <si>
    <r>
      <t xml:space="preserve">Rozmrazte a poté mějte na ledu. </t>
    </r>
    <r>
      <rPr>
        <b/>
        <sz val="11"/>
        <color theme="1"/>
        <rFont val="Calibri"/>
        <family val="2"/>
        <scheme val="minor"/>
      </rPr>
      <t xml:space="preserve">Vraťte do mrazničky pro další použití.                 </t>
    </r>
    <r>
      <rPr>
        <sz val="11"/>
        <color theme="1"/>
        <rFont val="Calibri"/>
        <family val="2"/>
        <scheme val="minor"/>
      </rPr>
      <t xml:space="preserve">                      </t>
    </r>
  </si>
  <si>
    <t>–15 °C až –25 °C
KRABIČKA 3
BOX 3</t>
  </si>
  <si>
    <t xml:space="preserve">Rozmrazte a poté uchovávejte na ledu.                 </t>
  </si>
  <si>
    <t>Před použitím zvortexujte a krátce odstřeďte všechny reagencie.</t>
  </si>
  <si>
    <t>Připravte si požadovaný spotřební materiál uvedený níže:</t>
  </si>
  <si>
    <t>96-jamková destička,</t>
  </si>
  <si>
    <t>lepící folie Microseal B,</t>
  </si>
  <si>
    <t>1,5ml mikrocentrifugační zkumavky</t>
  </si>
  <si>
    <t>PROTOKOL PRO PŘÍPRAVU KNIHOVNY</t>
  </si>
  <si>
    <r>
      <t>POZNÁMKA:</t>
    </r>
    <r>
      <rPr>
        <sz val="11"/>
        <rFont val="Calibri"/>
        <family val="2"/>
        <scheme val="minor"/>
      </rPr>
      <t xml:space="preserve"> Neexistuje žádný bod bezpečného zastavení až do indexing PCR.  Proces trvá přibližně </t>
    </r>
    <r>
      <rPr>
        <b/>
        <sz val="11"/>
        <rFont val="Calibri"/>
        <family val="2"/>
        <scheme val="minor"/>
      </rPr>
      <t>1:50 hodiny</t>
    </r>
    <r>
      <rPr>
        <sz val="11"/>
        <rFont val="Calibri"/>
        <family val="2"/>
        <scheme val="minor"/>
      </rPr>
      <t xml:space="preserve"> (včetně 50 min v PCR termocykleru). </t>
    </r>
  </si>
  <si>
    <t>Do příslušné jamky PCR destičky podle rozpisu na listu 1.0 Sample_Prep dáme 10 μl vzorku o koncentraci 10–100 ng/μl.</t>
  </si>
  <si>
    <t>Připravte Tagmentation master mix (tagmentační master mix) z následujících reagencií:</t>
  </si>
  <si>
    <t>Objem pro požadovaný počet vzorků + 10% rezerva (μl):</t>
  </si>
  <si>
    <t>Sterilní voda</t>
  </si>
  <si>
    <t>Celkem</t>
  </si>
  <si>
    <t>Smíchejte výše uvedený master mix vortexováním a poté krátce odstřeďte.</t>
  </si>
  <si>
    <t>Napipetujte pipetou 40 μl tagmentačního master mixu do každé jamky, která obsahuje vzorek DNA.</t>
  </si>
  <si>
    <t>Přelepte destičku fólií Microseal B.</t>
  </si>
  <si>
    <t>Centrifugujte destičku při 100 x g po dobu 10 sekund, abyste shromáždili veškerý obsah na dně jamky.</t>
  </si>
  <si>
    <t>Pomocí třepačky při 1800 otáčkách za minutu třepejte po dobu 1 minuty.</t>
  </si>
  <si>
    <t>Vizuálně zkontrolujte destičku:</t>
  </si>
  <si>
    <t>a)</t>
  </si>
  <si>
    <t>b)</t>
  </si>
  <si>
    <t>Umístěte destičku do termocykleru a spusťte program Tagmentation.</t>
  </si>
  <si>
    <t>Použitý termocykler:</t>
  </si>
  <si>
    <t>Název programu:</t>
  </si>
  <si>
    <t>Program Tagmentation:</t>
  </si>
  <si>
    <t>Reakční objem: 50 µL</t>
  </si>
  <si>
    <t>Teplota víka: 105 °C</t>
  </si>
  <si>
    <t>Teplota</t>
  </si>
  <si>
    <t>Čas</t>
  </si>
  <si>
    <t>55°C</t>
  </si>
  <si>
    <t>5 minut</t>
  </si>
  <si>
    <t>10°C</t>
  </si>
  <si>
    <t>2 minuty</t>
  </si>
  <si>
    <t>Po dokončení programu okamžitě vyjměte  destičku z termocykleru a nechte ji 2 minuty při pokojové teplotě.</t>
  </si>
  <si>
    <t>Odstraňte fólii Microseal B.</t>
  </si>
  <si>
    <t>Do každé jamky přidejte 10 μl pufru Stop Buffer.</t>
  </si>
  <si>
    <t>Přelepte destičku novou fólií Microseal B.</t>
  </si>
  <si>
    <t>Destičku inkubujte dalších 5 minut při pokojové teplotě.</t>
  </si>
  <si>
    <t>Během inkubace vyjměte PCR Mix a indexy z mrazničky, aby se rozmrazily, a poté je umístěte na led / do chladícího stojanu.</t>
  </si>
  <si>
    <t>Vizuálně destičku zkontrolujte. Pokud materiál není na dně jamky nebo je rozstříknutý na fólii Microseal B, destičku krátce stočte.</t>
  </si>
  <si>
    <t>Promyjte třikrát pomocí Tagmentation Wash Buffer (promývací pufr), jak je popsáno níže:</t>
  </si>
  <si>
    <t>Odstraňte fólii Microseal B a umístěte destičku na magnetický stojanna 30 sekund, aby se kuličky shromáždily v jamkách souběžně s magnetem,</t>
  </si>
  <si>
    <t>Pomocí pipety odsajte a zlikvidujte supernatant, přičemž kuličky ponechte v jamkách souběžně s magnetem,</t>
  </si>
  <si>
    <t>c)</t>
  </si>
  <si>
    <t>Pomalu přidejte 100 μl pufru Tagmentation Wash Buffer do každé jamky,</t>
  </si>
  <si>
    <t>d)</t>
  </si>
  <si>
    <t>Přelepte destičku novou fólií Microseal B a ujistěte se, že je fólie řádně připevněna,</t>
  </si>
  <si>
    <t>e)</t>
  </si>
  <si>
    <t>Pomocí třepačky při 1800 otáčkách za minutu třepejte 2 minuty při pokojové teplotě.</t>
  </si>
  <si>
    <t>f)</t>
  </si>
  <si>
    <r>
      <t>UPOZORNĚNÍ:</t>
    </r>
    <r>
      <rPr>
        <sz val="11"/>
        <color rgb="FF000000"/>
        <rFont val="Calibri"/>
        <family val="2"/>
        <scheme val="minor"/>
      </rPr>
      <t xml:space="preserve"> Pokud vzorky vystříkly na folii, je nutné před jejím sejmutím destičku odstředit při 100 x g 10 sekund,</t>
    </r>
  </si>
  <si>
    <t>g)</t>
  </si>
  <si>
    <r>
      <rPr>
        <b/>
        <sz val="11"/>
        <color theme="1"/>
        <rFont val="Calibri"/>
        <family val="2"/>
        <scheme val="minor"/>
      </rPr>
      <t>POZNÁMKA:</t>
    </r>
    <r>
      <rPr>
        <sz val="11"/>
        <color theme="1"/>
        <rFont val="Calibri"/>
        <family val="2"/>
        <scheme val="minor"/>
      </rPr>
      <t xml:space="preserve"> Před odstraněním supernatantu ze třetího promytí připravte PCR master mix, jak je popsáno níže.</t>
    </r>
  </si>
  <si>
    <t>Připravte PCR master mix v souladu s následujícími objemy:</t>
  </si>
  <si>
    <t>PCR Mix (nebo PCR mix - 1)</t>
  </si>
  <si>
    <r>
      <rPr>
        <b/>
        <sz val="11"/>
        <color theme="1"/>
        <rFont val="Calibri"/>
        <family val="2"/>
        <scheme val="minor"/>
      </rPr>
      <t xml:space="preserve">POZNÁMKA: </t>
    </r>
    <r>
      <rPr>
        <sz val="11"/>
        <color theme="1"/>
        <rFont val="Calibri"/>
        <family val="2"/>
        <scheme val="minor"/>
      </rPr>
      <t xml:space="preserve">PCR Mix se používá v dalších krocích protokolu. Nevyhazujte tuto lahvičku. </t>
    </r>
  </si>
  <si>
    <t>Pomocí pipety nastavené na 100 μl odsajte a zlikvidujte supernatant z posledního promytí pufrem Tagmentation Wash Buffer.</t>
  </si>
  <si>
    <t>Sejměte destičku z magnetického stojanu.</t>
  </si>
  <si>
    <t>Do každé jamky přidejte 40 μl PCR master mixu.</t>
  </si>
  <si>
    <t>Pomocí třepačky při 1800 otáčkách za minutu třepejte při pokojové teplotě 2 minuty.</t>
  </si>
  <si>
    <t>Odstřeďujte destičku při 100 x g po dobu 10 sekund, aby byly všechny kuličky suspendovány v PCR master mixu.</t>
  </si>
  <si>
    <t>Pro zkumavky s indexy (T),</t>
  </si>
  <si>
    <t>(T) Vortexujte a krátce odstřeďte zkumavky s indexy, aby byl veškerý obsah na dně zkumavky.</t>
  </si>
  <si>
    <t>(T) Odstraňte fólii Microseal B z destičky se vzorky.</t>
  </si>
  <si>
    <t>(T) Do každé jamky se přidá 5 μl indexu i7 podle Plate Layout na listu 1.0 Sample_Prep.</t>
  </si>
  <si>
    <t>(T) Do každé jamky se přidá 5 μl indexu i5 podle Plate Layout na listu 1.0 Sample_Prep.</t>
  </si>
  <si>
    <t>Pokračujte krokem 31.</t>
  </si>
  <si>
    <t xml:space="preserve">Pro destičku s indexy (P), </t>
  </si>
  <si>
    <t>(P) Třepejte na třepačce destičku s indexy při 1800 ot./min po dobu 1 minuty.</t>
  </si>
  <si>
    <t>(P) Centrifugujte indexovou destičku při 100 x g po dobu 10 sekund, abyste zajistili, že veškerý objem je na dně jamky.</t>
  </si>
  <si>
    <t xml:space="preserve">(P) Odstraňte fólii Microseal B z destičky se vzorky. </t>
  </si>
  <si>
    <r>
      <rPr>
        <sz val="11"/>
        <rFont val="Calibri"/>
        <family val="2"/>
        <scheme val="minor"/>
      </rPr>
      <t xml:space="preserve">(P) </t>
    </r>
    <r>
      <rPr>
        <b/>
        <sz val="11"/>
        <rFont val="Calibri"/>
        <family val="2"/>
        <scheme val="minor"/>
      </rPr>
      <t>Zkontrolujte správnou orientaci destičky a správnou sadu indexů. Fólii nestrhávejte.</t>
    </r>
    <r>
      <rPr>
        <sz val="11"/>
        <rFont val="Calibri"/>
        <family val="2"/>
        <scheme val="minor"/>
      </rPr>
      <t xml:space="preserve"> Špičkou propíchněte fólii destičky s indexy.</t>
    </r>
    <r>
      <rPr>
        <b/>
        <sz val="11"/>
        <rFont val="Calibri"/>
        <family val="2"/>
        <scheme val="minor"/>
      </rPr>
      <t xml:space="preserve"> Pomocí nové špičky,</t>
    </r>
    <r>
      <rPr>
        <sz val="11"/>
        <rFont val="Calibri"/>
        <family val="2"/>
        <scheme val="minor"/>
      </rPr>
      <t xml:space="preserve"> přeneste 10 μl kombinovaných indexů z destičky s indexy do každé jamky v destičce se vzorky v souladu s Plate Layout na listu 1.0 Sample_Prep.</t>
    </r>
  </si>
  <si>
    <t>Při pokojové teplotě třepejte při 1800 otáčkách za minutu 1 minutu.</t>
  </si>
  <si>
    <t>Centrifugujte destičku při 100 x g po dobu 10 sekund, abyste shromáždili veškerý obsah na dně jamky. Vizuálně zkontrolujte, zda jsou kuličky v roztoku stále rovnoměrně rozloženy. Pokud kuličky nejsou v jamce rovnoměrně rozloženy, opakujte protřepávání podle kroku 32.</t>
  </si>
  <si>
    <t>Umístěte destičku do termocykleru a spusťte program Indexing PCR.</t>
  </si>
  <si>
    <t>Program Indexing PCR:</t>
  </si>
  <si>
    <t>#</t>
  </si>
  <si>
    <t>Krok</t>
  </si>
  <si>
    <t>Počet cyklů</t>
  </si>
  <si>
    <t>Primární extenze</t>
  </si>
  <si>
    <t>72°C</t>
  </si>
  <si>
    <t>3 minuty</t>
  </si>
  <si>
    <t>Počáteční denaturace</t>
  </si>
  <si>
    <t>98°C</t>
  </si>
  <si>
    <t>Denaturace</t>
  </si>
  <si>
    <t>20 sekund</t>
  </si>
  <si>
    <t>Annealing</t>
  </si>
  <si>
    <t>60°C</t>
  </si>
  <si>
    <t>30 sekund</t>
  </si>
  <si>
    <t>Extenze</t>
  </si>
  <si>
    <t>Finální extenze</t>
  </si>
  <si>
    <t>Udržování teploty do vyjmutí destičky</t>
  </si>
  <si>
    <t>Do vyjmutí destičky</t>
  </si>
  <si>
    <r>
      <t>POZNÁMKA:</t>
    </r>
    <r>
      <rPr>
        <sz val="11"/>
        <color theme="1"/>
        <rFont val="Calibri"/>
        <family val="2"/>
        <scheme val="minor"/>
      </rPr>
      <t xml:space="preserve"> Bod bezpečného zastavení. Knihovny lze skladovat při teplotě –15 °C až –25 °C po dobu až 1 týdne.</t>
    </r>
  </si>
  <si>
    <r>
      <t xml:space="preserve">POZNÁMKA: </t>
    </r>
    <r>
      <rPr>
        <sz val="11"/>
        <color theme="1"/>
        <rFont val="Calibri"/>
        <family val="2"/>
        <scheme val="minor"/>
      </rPr>
      <t>Pokud okamžitě budete pokračovat kroky size selection a purifikace, zajistěte, aby Purification Beads byly před použitím ohřáty na pokojovou teplotu.</t>
    </r>
  </si>
  <si>
    <t>Čas dokončení:</t>
  </si>
  <si>
    <t>UKONČENÍ PROTOKOLU. POKRAČUJTE KROKEM SIZE SELECTION/PURIFIKACE.</t>
  </si>
  <si>
    <t>ALLOSEQ TX – SIZE SELECTION/PURIFIKACE</t>
  </si>
  <si>
    <t>VÝPOČTY PRO SIZE SELECTION</t>
  </si>
  <si>
    <t>Pro optimální výtěžnost a výsledek size selection se objem vzorku, kuliček a supernatantu mění podle počtu analyzovaných vzorků. V následující tabulce jsou uvedeny objemy pro specifikovaný počet vzorků.</t>
  </si>
  <si>
    <t>Objemy reagencií</t>
  </si>
  <si>
    <t>6 – 24 
vzorků/sdružení</t>
  </si>
  <si>
    <t>25 – 48 vzorků/sdružení</t>
  </si>
  <si>
    <t>49 – 96
vzorků/sdružení</t>
  </si>
  <si>
    <t>Objemy pro daný run dle počtu vzorků</t>
  </si>
  <si>
    <t>Počet vzorků, které mají být sdruženy (max. pro uvedený rozsah)</t>
  </si>
  <si>
    <t>24</t>
  </si>
  <si>
    <t>Objem   1 vzorku ve sdružení (μl)</t>
  </si>
  <si>
    <t>Objem zředěných kuliček na 1 vzorek (μl)</t>
  </si>
  <si>
    <t>50</t>
  </si>
  <si>
    <t>Objem přenášeného supernatantu na 1 vzorek (μl)</t>
  </si>
  <si>
    <t>55</t>
  </si>
  <si>
    <t>Objem neředěných kuliček na 1 vzorek (μl)</t>
  </si>
  <si>
    <t>4.4</t>
  </si>
  <si>
    <t>Shromážděte požadované reagencie (objem je uveden v tabulce níže) a připravte podle tabulky:</t>
  </si>
  <si>
    <t>Objem na 1 vzorek nebo sdružení (μl)</t>
  </si>
  <si>
    <t>Objem pro # vzorků (μl):</t>
  </si>
  <si>
    <t>Purification Beads
(Purification Beads – 1  u kitů na 96 vzorků)</t>
  </si>
  <si>
    <t>2 °C až 8 °C
KRABIČKA 5</t>
  </si>
  <si>
    <t>Dejte do pokojové teploty alespoň na 30 minut. 
Vraťte  do lednice pro další použití.</t>
  </si>
  <si>
    <t>15 °C až 30 °C
Zajišťuje uživatel</t>
  </si>
  <si>
    <t>Různý</t>
  </si>
  <si>
    <t>100% etanol</t>
  </si>
  <si>
    <t>Připravte 80% etanol, jak je popsáno níže.</t>
  </si>
  <si>
    <t>Resuspension Buffer</t>
  </si>
  <si>
    <r>
      <t xml:space="preserve">Zahřejte na pokojovou teplotu. </t>
    </r>
    <r>
      <rPr>
        <b/>
        <sz val="11"/>
        <color theme="1"/>
        <rFont val="Calibri"/>
        <family val="2"/>
        <scheme val="minor"/>
      </rPr>
      <t>Vraťte do lednice pro další použití.</t>
    </r>
  </si>
  <si>
    <t>Připravte si zředěné Purification Beads - ujistěte se, že neředěné Purification Beads jsou před použitím důkladně zvortexovány:</t>
  </si>
  <si>
    <t>Objem pro požadovaný počet vzorků + 20% rezerva (μl):</t>
  </si>
  <si>
    <t>Purification Beads</t>
  </si>
  <si>
    <t>Total</t>
  </si>
  <si>
    <t>Prepare fresh 80% ethanol (2 washes per pool):</t>
  </si>
  <si>
    <t>Reagent</t>
  </si>
  <si>
    <t>Volume per pool (µL)</t>
  </si>
  <si>
    <t>Volume for Number of pools Required +50% Excess (µL):</t>
  </si>
  <si>
    <r>
      <t>POZNÁMKA:</t>
    </r>
    <r>
      <rPr>
        <sz val="11"/>
        <rFont val="Calibri"/>
        <family val="2"/>
        <scheme val="minor"/>
      </rPr>
      <t xml:space="preserve"> Počet sdružení v experimentu je přednastaven na 1 ve žluté buňce výše. Ten lze v případě potřeby ručně přepsat. Úprava této buňky aktualizuje počet sdružení pro další kroky tohoto protokolu/sešitu. Pokud má být v tomto experimentu provedeno více než 1 sdružení se </t>
    </r>
    <r>
      <rPr>
        <b/>
        <sz val="11"/>
        <rFont val="Calibri"/>
        <family val="2"/>
        <scheme val="minor"/>
      </rPr>
      <t>stejným počtem</t>
    </r>
    <r>
      <rPr>
        <sz val="11"/>
        <rFont val="Calibri"/>
        <family val="2"/>
        <scheme val="minor"/>
      </rPr>
      <t xml:space="preserve"> vzorků ve sdružení, měl by se objem Purification Beads odpovídajícím způsobem zvýšit (tj. zdvojnásobit pro dvě sdružení) a níže uvedené pokyny by měly být provedeny v plném rozsahu pro každé sdružení. 
Pokud je požadováno více sdružení s </t>
    </r>
    <r>
      <rPr>
        <b/>
        <sz val="11"/>
        <rFont val="Calibri"/>
        <family val="2"/>
        <scheme val="minor"/>
      </rPr>
      <t>různým počtem</t>
    </r>
    <r>
      <rPr>
        <sz val="11"/>
        <rFont val="Calibri"/>
        <family val="2"/>
        <scheme val="minor"/>
      </rPr>
      <t xml:space="preserve"> vzorků, měla by být tato karta duplikována a buňky ve žluté barvě aktualizovány tak, aby odrážely počet vzorků. Pak budou správně upraveny objemy požadovaných/přenášených reagencií. Chcete-li kartku duplikovat, klikněte pravým tlačítkem na kteroukoli z karet a vyberte „Přesunout nebo Kopírovat“, ze seznamu vyberte „3.0 SS_Purification“, zaškrtněte políčko „Vytvořit kopii“ a klikněte na „OK“. 
</t>
    </r>
  </si>
  <si>
    <t>1,5ml zkumavky (volitelné: v případě zvětšení promývacího objemu etanolu v kroku 14a z 1200 μl na 1500 μl  lze použít zkumavky o objemu 2 ml).</t>
  </si>
  <si>
    <t>PROTOKOL PRO SIZE SELECTION A PURIFIKACI</t>
  </si>
  <si>
    <r>
      <t xml:space="preserve">POZNÁMKA: </t>
    </r>
    <r>
      <rPr>
        <sz val="11"/>
        <color theme="1"/>
        <rFont val="Calibri"/>
        <family val="2"/>
        <scheme val="minor"/>
      </rPr>
      <t>Proces trvá přibližně 1 hodinu.</t>
    </r>
  </si>
  <si>
    <t>Vortexujte každou zkumavku vysokou rychlostí po dobu 10 sekund, dokud vzorek nebude při vizuální kontrole homogenní.</t>
  </si>
  <si>
    <t xml:space="preserve">Inkubujte při pokojové teplotě 5 minut. Během této inkubace se největší fragmenty vážou na kuličky. </t>
  </si>
  <si>
    <t>Krátce stočte.</t>
  </si>
  <si>
    <t xml:space="preserve">Umístěte zkumavku na magnet na 2,5 minuty, aby se kuličky shromáždily ve zkumavce souběžně s magnetem. Pokud supernatant zůstane zakalený, ponechejte na magnetu, dokud nebude čistý. </t>
  </si>
  <si>
    <t>Vortexujte každou zkumavku vysokou rychlostí po dobu 10 sekund.</t>
  </si>
  <si>
    <t>Inkubujte při pokojové teplotě 5 minut. Během této inkubace se největší fragmenty vážou na kuličky.</t>
  </si>
  <si>
    <t>Umístěte zkumavku na magnet na 2,5 minuty, aby se kuličky shromáždily ve zkumavce souběžně s magnetem. Pokud supernatant zůstane zakalený, ponechejte na magnetu, dokud nebude čistý.</t>
  </si>
  <si>
    <t>Pomocí pipety odsajte a zlikvidujte supernatant, přičemž kuličky ponechte  ve zkumavce souběžně s magnetem,</t>
  </si>
  <si>
    <t>Ponechejte zkumavku na magnetu, dvakrát promyjte 80% etanolem:</t>
  </si>
  <si>
    <t>Do každé zkumavky přidejte 1200 μl 80% etanolu,</t>
  </si>
  <si>
    <t>Inkubujte při pokojové teplotě 30 sekund.</t>
  </si>
  <si>
    <t>Pomocí pipety odsajte a zlikvidujte veškerý supernatant,</t>
  </si>
  <si>
    <t>Odstraňte veškerý zbývající supernatant pipetou P20.</t>
  </si>
  <si>
    <t>Zkumavku nechte osychat na vzduchu po dobu 5 minut při pokojové teplotě, aby se zbytkový etanol mohl odpařit.</t>
  </si>
  <si>
    <t>Sejměte zkumavku z magnetu a do každé zkumavky přidejte 37 μl pufru Resuspension Buffer  pro eluci cílových fragmentů.</t>
  </si>
  <si>
    <t xml:space="preserve">Vortexujte každou zkumavku vysokou rychlostí po dobu 10 sekund. </t>
  </si>
  <si>
    <t>Inkubujte při pokojové teplotě 5 minut.</t>
  </si>
  <si>
    <t>Umístěte zkumavku na magnet na 30 sekund, aby se kuličky  ve zkumavce shromáždily souběžně s magnetem.</t>
  </si>
  <si>
    <r>
      <rPr>
        <b/>
        <u/>
        <sz val="11"/>
        <rFont val="Calibri"/>
        <family val="2"/>
        <scheme val="minor"/>
      </rPr>
      <t>Přeneste</t>
    </r>
    <r>
      <rPr>
        <u/>
        <sz val="11"/>
        <rFont val="Calibri"/>
        <family val="2"/>
        <scheme val="minor"/>
      </rPr>
      <t xml:space="preserve"> 35 μl supernatantu do nové zkumavky o objemu 1,5 ml  a uschovejte nebo můžete pokračovat hybridizací. </t>
    </r>
  </si>
  <si>
    <r>
      <t xml:space="preserve">POZNÁMKA: </t>
    </r>
    <r>
      <rPr>
        <sz val="11"/>
        <color theme="1"/>
        <rFont val="Calibri"/>
        <family val="2"/>
        <scheme val="minor"/>
      </rPr>
      <t>Bod bezpečného zastavení. Knihovny lze skladovat při teplotě –15 °C až –25 °C po dobu až 1 měsíce.</t>
    </r>
  </si>
  <si>
    <t>UKONČENÍ PROTOKOLU. POKRAČUJTE HYBRIDIZACÍ.
(NEBO VOLITELNĚ KVANTIFIKACÍ/VIZUALIZACÍ NA LISTU 8.0 QUBIT NEBO 9.0 TAPESTATION)</t>
  </si>
  <si>
    <t xml:space="preserve">ALLOSEQ TX - HYBRIDIZACE </t>
  </si>
  <si>
    <t>Objem na 1 sdružení (μl)</t>
  </si>
  <si>
    <t>Objem pro # sdružení (μl):</t>
  </si>
  <si>
    <t>AlloSeq Tx Probe Panel</t>
  </si>
  <si>
    <t>–15 °C až –25 °C
KRABIČKA 4</t>
  </si>
  <si>
    <t>Dejte do pokojové teploty.</t>
  </si>
  <si>
    <t>Hybridisation Buffer 1</t>
  </si>
  <si>
    <t xml:space="preserve">Umístěte do Hybexu při teplotě 58 °C na 15 minut. Zvortexujte a vizuálně zkontrolujte, pokud sraženina přetrvává, pak inkubujte při 58  ͦC po dobu dalších 15 minut. </t>
  </si>
  <si>
    <t>Hybridisation Buffer 2</t>
  </si>
  <si>
    <t>Dejte do pokojové teploty</t>
  </si>
  <si>
    <t>PCR zkumavky/stripy a uzávěry.</t>
  </si>
  <si>
    <t xml:space="preserve">PROTOKOL HYBRIDIZACE </t>
  </si>
  <si>
    <r>
      <t>POZNÁMKA:</t>
    </r>
    <r>
      <rPr>
        <sz val="11"/>
        <color theme="1"/>
        <rFont val="Calibri"/>
        <family val="2"/>
        <scheme val="minor"/>
      </rPr>
      <t xml:space="preserve"> Neexistuje žádný bezpečný bod zastavení – nutné je dokončit zachycování a promývání. Se sdružením je nutné z fáze hybridizace při 62 °C okamžitě přejít do fáze zachycování a promývání. </t>
    </r>
  </si>
  <si>
    <r>
      <t>POZNÁMKA:</t>
    </r>
    <r>
      <rPr>
        <sz val="11"/>
        <color theme="1"/>
        <rFont val="Calibri"/>
        <family val="2"/>
        <scheme val="minor"/>
      </rPr>
      <t xml:space="preserve"> Příprava trvá přibližně </t>
    </r>
    <r>
      <rPr>
        <b/>
        <sz val="11"/>
        <color theme="1"/>
        <rFont val="Calibri"/>
        <family val="2"/>
        <scheme val="minor"/>
      </rPr>
      <t>20</t>
    </r>
    <r>
      <rPr>
        <sz val="11"/>
        <color theme="1"/>
        <rFont val="Calibri"/>
        <family val="2"/>
        <scheme val="minor"/>
      </rPr>
      <t xml:space="preserve"> minut, v termocykleru minimálně </t>
    </r>
    <r>
      <rPr>
        <b/>
        <sz val="11"/>
        <color theme="1"/>
        <rFont val="Calibri"/>
        <family val="2"/>
        <scheme val="minor"/>
      </rPr>
      <t xml:space="preserve">1,5 </t>
    </r>
    <r>
      <rPr>
        <sz val="11"/>
        <color theme="1"/>
        <rFont val="Calibri"/>
        <family val="2"/>
        <scheme val="minor"/>
      </rPr>
      <t xml:space="preserve">hodiny a maximálně </t>
    </r>
    <r>
      <rPr>
        <b/>
        <sz val="11"/>
        <color theme="1"/>
        <rFont val="Calibri"/>
        <family val="2"/>
        <scheme val="minor"/>
      </rPr>
      <t>18</t>
    </r>
    <r>
      <rPr>
        <sz val="11"/>
        <color theme="1"/>
        <rFont val="Calibri"/>
        <family val="2"/>
        <scheme val="minor"/>
      </rPr>
      <t xml:space="preserve"> hodin (reakce ponechané přes noc, nebo až 18 hodin, musí být udržovány při teplotě 62 °C).</t>
    </r>
  </si>
  <si>
    <t>Pro každou hybridizační reakci se do PCR zkumavky/stripu zkombinují následující reagencie v níže uvedeném pořadí:</t>
  </si>
  <si>
    <t>Objem pro 1 sdružení (μl)</t>
  </si>
  <si>
    <t>Sdružení vzorků</t>
  </si>
  <si>
    <t>S pipetou nastavenou na 70 μl, propipetujte 10krát každou hybridizační reakci, zavíčkujte a poté krátce odstřeďte.</t>
  </si>
  <si>
    <t>Pokud roztok zůstane zakalený, promíchejte pipetou ještě 6-8krát, uzavřete a poté krátce odstřeďte.</t>
  </si>
  <si>
    <t>Umístěte zkumavku/strip do termocykleru a spusťte program hybridizace.</t>
  </si>
  <si>
    <t>Program hybridizace:</t>
  </si>
  <si>
    <t>Reakční objem: 100 µL</t>
  </si>
  <si>
    <t>Teplota víka termocykleru: 100 °C</t>
  </si>
  <si>
    <t>Ramping</t>
  </si>
  <si>
    <t>98 °C – 62 °C, pokles o 2 °C/cyklus</t>
  </si>
  <si>
    <t>1 minuta</t>
  </si>
  <si>
    <t>Návrat ke kroku 2 -  18x zopakovat (celkem 19 cyklů) s poklesem o 2  ͦC/cyklus.</t>
  </si>
  <si>
    <t>Hybridisation</t>
  </si>
  <si>
    <t>62°C</t>
  </si>
  <si>
    <t>60 minut</t>
  </si>
  <si>
    <t>Udržování teploty</t>
  </si>
  <si>
    <t>Udržování teploty(nepřekračujte 18 hodin při 62 °C, včetně kroku #4)</t>
  </si>
  <si>
    <t>Nechte zkumavku/strip v termocykleru, dokud nebudete připraveni pokračovat v zachycování. Ujistěte se, že capture beads (zachytávací kuličky) dosáhly pokojové teploty a že Capture Wash Buffer a Hybex jsou zahřáté na 58 °C.</t>
  </si>
  <si>
    <t>OKAMŽITĚ POKRAČUJTE V ZACHYCOVÁNÍ.</t>
  </si>
  <si>
    <t>ALLOSEQ TX – ZACHYCOVÁNÍ</t>
  </si>
  <si>
    <t>Capture Beads</t>
  </si>
  <si>
    <t>Dejte do pokojové teploty alespoň na 30 minut.</t>
  </si>
  <si>
    <t>Capture Wash Buffer</t>
  </si>
  <si>
    <t>Před použitím předehřejte na 58  ͦC.</t>
  </si>
  <si>
    <t>Capture Elution Buffer 1</t>
  </si>
  <si>
    <t>2N NaOH</t>
  </si>
  <si>
    <r>
      <t xml:space="preserve">Dejte do pokojové teploty .
</t>
    </r>
    <r>
      <rPr>
        <b/>
        <sz val="11"/>
        <color theme="1"/>
        <rFont val="Calibri"/>
        <family val="2"/>
        <scheme val="minor"/>
      </rPr>
      <t>Vraťte do mrazničky pro další použití.</t>
    </r>
  </si>
  <si>
    <t>Capture Elution Buffer 2</t>
  </si>
  <si>
    <t>Připravte eluční master mix z následujících reagencií:</t>
  </si>
  <si>
    <r>
      <t>POZNÁMKA:</t>
    </r>
    <r>
      <rPr>
        <sz val="11"/>
        <color theme="1"/>
        <rFont val="Calibri"/>
        <family val="2"/>
        <scheme val="minor"/>
      </rPr>
      <t xml:space="preserve"> Roztok NaOH snadno absorbuje CO2 z ovzduší, mění pH a účinnost. Pokud se zkumavka 2N NaOH nepoužívá, pečlivě ji uzavřete.</t>
    </r>
  </si>
  <si>
    <t>1,5ml mikrocentrifugační zkumavky,</t>
  </si>
  <si>
    <t>PROTOKOL ZACHYCOVÁNÍ</t>
  </si>
  <si>
    <r>
      <t>POZNÁMKA:</t>
    </r>
    <r>
      <rPr>
        <sz val="11"/>
        <rFont val="Calibri"/>
        <family val="2"/>
        <scheme val="minor"/>
      </rPr>
      <t xml:space="preserve"> Proces trvá přibližně 1 hodinu.</t>
    </r>
  </si>
  <si>
    <t>Pro každou hybridizační reakci přidejte 250 µl Capture Beads do nové zkumavky o objemu 1,5 ml.</t>
  </si>
  <si>
    <r>
      <rPr>
        <b/>
        <u/>
        <sz val="11"/>
        <rFont val="Calibri"/>
        <family val="2"/>
        <scheme val="minor"/>
      </rPr>
      <t>Přeneste</t>
    </r>
    <r>
      <rPr>
        <sz val="11"/>
        <rFont val="Calibri"/>
        <family val="2"/>
        <scheme val="minor"/>
      </rPr>
      <t xml:space="preserve"> 100 μl z každé hybridizační reakce do příslušné zkumavky obsahující Capture Beads. </t>
    </r>
  </si>
  <si>
    <t>Vortexujte zkumavku při vysoké rychlosti po dobu 10 sekund. Necentrifugujte ani krátce nestáčejte.</t>
  </si>
  <si>
    <t>Zkumavku inkubujte 15 minut při teplotě 58 °C v Hybexu.</t>
  </si>
  <si>
    <t>Umístěte zkumavku na magnet na 30 sekund, aby se kuličky shromáždily ve zkumavce souběžně s magnetem.</t>
  </si>
  <si>
    <t>Pomocí pipety odsajte a zlikvidujte supernatant, přičemž kuličky ponechte  ve zkumavce souběžně s magnetem.</t>
  </si>
  <si>
    <t>Promyjte třikrát zahřátým pufrem Capture Wash Buffer (promývací pufr), jak je popsáno níže:</t>
  </si>
  <si>
    <t>POZNÁMKA: Pokud se Capture Wash Buffer nepoužívá, ponechte jej v Hybexu, aby se udržovala teplota 58 °C. Vyjměte pouze bezprostředně před přidáním do reakce v krocích 8b a 10. Pracujte rychle, abyste minimalizovali dobu, po kterou jsou sdružení vzorků a pufr při pokojové teplotě.</t>
  </si>
  <si>
    <t>Vyjměte zkumavku z magnetu.</t>
  </si>
  <si>
    <t>Přidejte 200 μl zahřátého promývacího pufru Capture Wash Buffer (58 °C).</t>
  </si>
  <si>
    <t>Inkubujte zkumavku při teplotě 58 °C v Hybexu 5 minut.</t>
  </si>
  <si>
    <t>Krátce stočte a okamžitěumístěte zkumavku na magnet na 30 sekund, aby se kuličky shromažďovaly ve zkumavce souběžně s magnetem.</t>
  </si>
  <si>
    <t>Zvortexujte zkumavku při vysoké rychlosti po dobu 10 sekund.  Necentrifugujte  ani krátce nestáčejte.</t>
  </si>
  <si>
    <r>
      <rPr>
        <b/>
        <u/>
        <sz val="11"/>
        <rFont val="Calibri"/>
        <family val="2"/>
        <scheme val="minor"/>
      </rPr>
      <t>Přeneste</t>
    </r>
    <r>
      <rPr>
        <sz val="11"/>
        <rFont val="Calibri"/>
        <family val="2"/>
        <scheme val="minor"/>
      </rPr>
      <t xml:space="preserve"> celý obsah (promývací roztok a kuličky) do nové zkumavky o objemu 1,5 ml.</t>
    </r>
  </si>
  <si>
    <r>
      <t xml:space="preserve">POZNÁMKA: </t>
    </r>
    <r>
      <rPr>
        <sz val="11"/>
        <color theme="1"/>
        <rFont val="Calibri"/>
        <family val="2"/>
        <scheme val="minor"/>
      </rPr>
      <t>Tento krok přenosu je rozhodující pro odstranění inhibitorů PCR, které mohou negativně ovlivnit celkový výsledek.</t>
    </r>
  </si>
  <si>
    <t>Inkubujte zkumavku při teplotě 58 °C v Hybexu po dobu 5 minut.</t>
  </si>
  <si>
    <t>Okamžitě krátce odstřeďte a pak umístěte zkumavku na magnet na 30 sekund, aby se kuličky shromáždily souběžně s magnetem.</t>
  </si>
  <si>
    <t>Krátce odstřeďte a pak okamžitě umístěte zkumavku na magnet na 30 sekund, aby se kuličky shromáždily ve zkumavce souběžně s magnetem.</t>
  </si>
  <si>
    <t>Pomocí pipety P20 odsajte a zlikvidujte supernatant, přičemž kuličky ponechte  ve zkumavce souběžně s magnetem.</t>
  </si>
  <si>
    <t>Zvortexujte výše připravený eluční master mix a poté vyjměte zkumavku z magnetu a do každé zkumavky přidejte 23 μl elučního master mixu.</t>
  </si>
  <si>
    <t>Vortexujte zkumavku při vysoké rychlosti po dobu 10 sekund.</t>
  </si>
  <si>
    <t>Inkubujte při pokojové teplotě 2 minuty.</t>
  </si>
  <si>
    <t>Krátce stočte</t>
  </si>
  <si>
    <t>Umístěte zkumavku na magnet na 30 sekund, aby se kuličky shromáždily souběžně s magnetem.</t>
  </si>
  <si>
    <r>
      <rPr>
        <b/>
        <u/>
        <sz val="11"/>
        <color theme="1"/>
        <rFont val="Calibri"/>
        <family val="2"/>
        <scheme val="minor"/>
      </rPr>
      <t>Přeneste</t>
    </r>
    <r>
      <rPr>
        <sz val="11"/>
        <color theme="1"/>
        <rFont val="Calibri"/>
        <family val="2"/>
        <scheme val="minor"/>
      </rPr>
      <t xml:space="preserve"> 21 μl supernatantu do nové PCR zkumavky/stripu.</t>
    </r>
  </si>
  <si>
    <t>Přidejte 4 μl pufru Capture Elution Buffer 2.</t>
  </si>
  <si>
    <t>Propipetujte 6-8krát. Konečný objem je 25 μl.</t>
  </si>
  <si>
    <r>
      <t xml:space="preserve">POZNÁMKA: </t>
    </r>
    <r>
      <rPr>
        <sz val="11"/>
        <color theme="1"/>
        <rFont val="Calibri"/>
        <family val="2"/>
        <scheme val="minor"/>
      </rPr>
      <t>Bod bezpečného zastavení. Knihovny lze skladovat při teplotě –15 °C až –25 °C po dobu až 24 hodin.</t>
    </r>
  </si>
  <si>
    <t>UKONČENÍ PROTOKOLU. POKRAČUJTE V POST ENRICHMENT PCR.</t>
  </si>
  <si>
    <t>ALLOSEQ TX - POST ENRICHMENT PCR</t>
  </si>
  <si>
    <t>Objem pro1 sdružení (μl)</t>
  </si>
  <si>
    <t>PCR Primers</t>
  </si>
  <si>
    <t xml:space="preserve">Rozmrazte na ledu. Promíchejte obracením a poté krátce odstřeďte. </t>
  </si>
  <si>
    <t xml:space="preserve">PCR Mix (or PCR Mix-2 
for 96 test kits) </t>
  </si>
  <si>
    <t>Rozmrazte při pokojové teplotě a poté dejte na led.</t>
  </si>
  <si>
    <t>Připravte si položky uvedené níže:</t>
  </si>
  <si>
    <t>PCR zkumavky obsahující knihovny z kroku 5.0 Capture.</t>
  </si>
  <si>
    <t>PROTOKOL PRO POST ENRICHMENT PCR</t>
  </si>
  <si>
    <r>
      <t>POZNÁMKA:</t>
    </r>
    <r>
      <rPr>
        <sz val="11"/>
        <color theme="1"/>
        <rFont val="Calibri"/>
        <family val="2"/>
        <scheme val="minor"/>
      </rPr>
      <t xml:space="preserve"> Příprava trvá přibližně 5 minut, v termocykleru 1:40 hodiny.</t>
    </r>
  </si>
  <si>
    <t>Přidejte 5 µl PCR Primerů do knihoven (z kroku 5.0 Capture).</t>
  </si>
  <si>
    <t>Do zkumavky přidejte 20 μl PCR Mixu.</t>
  </si>
  <si>
    <t>Zamíchejte pipetou 10krát.</t>
  </si>
  <si>
    <t>Umístěte zkumavku/strip do termocykleru a spusťte program Post enrichment PCR.</t>
  </si>
  <si>
    <t>Program Post enrichment PCR:</t>
  </si>
  <si>
    <t>Udržování teploty do vyjmutí zkumavky</t>
  </si>
  <si>
    <t>Do vyjmutí zkumavky</t>
  </si>
  <si>
    <r>
      <t>POZNÁMKA:</t>
    </r>
    <r>
      <rPr>
        <sz val="11"/>
        <color theme="1"/>
        <rFont val="Calibri"/>
        <family val="2"/>
        <scheme val="minor"/>
      </rPr>
      <t xml:space="preserve"> Pokud okamžitě přistoupíte k purifikaci, ujistěte se, že jsou Purification Beads ohřáty na pokojovou teplotu.</t>
    </r>
  </si>
  <si>
    <t>UKONČENÍ PROTOKOLU. POKRAČUJTE V PURIFIKACI.</t>
  </si>
  <si>
    <t>ALLOSEQ TX – PURIFIKACE POST ENRICHMENT PCR</t>
  </si>
  <si>
    <t>Purification Beads
(Purification Beads – 2 u kitů pro 96 vzorků)</t>
  </si>
  <si>
    <t>Zahřejte napokojovou teplotu (alespoň 30 minut).</t>
  </si>
  <si>
    <t>15 °C až 30 °C
Dodáno uživatelem</t>
  </si>
  <si>
    <r>
      <t xml:space="preserve">Zahřejte na pokojovou teplotu. </t>
    </r>
    <r>
      <rPr>
        <b/>
        <sz val="11"/>
        <color theme="1"/>
        <rFont val="Calibri"/>
        <family val="2"/>
        <scheme val="minor"/>
      </rPr>
      <t>Vraťte zpátky do lednice pro další použití.</t>
    </r>
  </si>
  <si>
    <t>Připravte si čerstvý 80% etanol (2 promytí na každé sdružení):</t>
  </si>
  <si>
    <t>Objem pro požadovaný počet sdružení + 50% rezerva (μl):</t>
  </si>
  <si>
    <t>1,5ml mikrocentrifugační zkumavky.</t>
  </si>
  <si>
    <t>PROTOKOL PURIFIKACE</t>
  </si>
  <si>
    <r>
      <t xml:space="preserve">POZNÁMKA: </t>
    </r>
    <r>
      <rPr>
        <sz val="11"/>
        <color theme="1"/>
        <rFont val="Calibri"/>
        <family val="2"/>
        <scheme val="minor"/>
      </rPr>
      <t xml:space="preserve">Proces trvá přibližně </t>
    </r>
    <r>
      <rPr>
        <b/>
        <sz val="11"/>
        <color theme="1"/>
        <rFont val="Calibri"/>
        <family val="2"/>
        <scheme val="minor"/>
      </rPr>
      <t>30</t>
    </r>
    <r>
      <rPr>
        <sz val="11"/>
        <color theme="1"/>
        <rFont val="Calibri"/>
        <family val="2"/>
        <scheme val="minor"/>
      </rPr>
      <t xml:space="preserve"> minut.</t>
    </r>
  </si>
  <si>
    <t>Přidejte 27 μl důkladně zvortexovaných Purification Beads do nové 1,5ml zkumavky (pro každé sdružení 1).</t>
  </si>
  <si>
    <r>
      <rPr>
        <b/>
        <u/>
        <sz val="11"/>
        <rFont val="Calibri"/>
        <family val="2"/>
        <scheme val="minor"/>
      </rPr>
      <t>Přeneste</t>
    </r>
    <r>
      <rPr>
        <sz val="11"/>
        <rFont val="Calibri"/>
        <family val="2"/>
        <scheme val="minor"/>
      </rPr>
      <t xml:space="preserve"> 45 μl z každé Post enrichment PCR do příslušné zkumavky obsahující Purification Beads. </t>
    </r>
  </si>
  <si>
    <t xml:space="preserve">Vortexujte každou zkumavku při vysokých otáčkách10 sekund. </t>
  </si>
  <si>
    <t>Do každé zkumavky přidejte 200 μl 80% etanolu,</t>
  </si>
  <si>
    <t>Zkumavku nechte osychat na vzduchu 5 minut při pokojové teplotě, aby se zbytkový etanol mohl odpařit.</t>
  </si>
  <si>
    <t>Sejměte zkumavku z magnetu a do každé zkumavky přidejte 32 μl pufru Resuspension Buffer, aby došlo k eluci požadovaných fragmentů.</t>
  </si>
  <si>
    <t xml:space="preserve">Vortexujte každou zkumavku při vysokých otáčkách 10 sekund. </t>
  </si>
  <si>
    <r>
      <rPr>
        <b/>
        <u/>
        <sz val="11"/>
        <rFont val="Calibri"/>
        <family val="2"/>
        <scheme val="minor"/>
      </rPr>
      <t>Přeneste</t>
    </r>
    <r>
      <rPr>
        <sz val="11"/>
        <rFont val="Calibri"/>
        <family val="2"/>
        <scheme val="minor"/>
      </rPr>
      <t xml:space="preserve"> 30 μl supernatantu do nové zkumavky o objemu 1,5 ml.</t>
    </r>
  </si>
  <si>
    <t>UKONČENÍ PROTOKOLU. PŘEJDĚTE KE KVANTIFIKACI.</t>
  </si>
  <si>
    <t>ALLOSEQ TX – KVANTIFIKACE QUBIT</t>
  </si>
  <si>
    <t>Qubit BR buffer</t>
  </si>
  <si>
    <t>–25 °C až 30 °C
zajišťuje uživatel</t>
  </si>
  <si>
    <t>Qubit BR dye</t>
  </si>
  <si>
    <t>BR Standard #1</t>
  </si>
  <si>
    <t>2 °C až 8 °C
zajišťuje uživatel</t>
  </si>
  <si>
    <t>Zahřejte na pokojovou teplotu.</t>
  </si>
  <si>
    <t>BR Standard #2</t>
  </si>
  <si>
    <t>Zahřejte na pokojovou teplotu .</t>
  </si>
  <si>
    <r>
      <t>POZNÁMKA:</t>
    </r>
    <r>
      <rPr>
        <sz val="11"/>
        <color theme="1"/>
        <rFont val="Calibri"/>
        <family val="2"/>
        <scheme val="minor"/>
      </rPr>
      <t xml:space="preserve"> Počet sdružení se automaticky zkopíruje dle údajů v listu hybridizace, ale v případě potřeby jej lze ručně přepsat.</t>
    </r>
  </si>
  <si>
    <t>Zkumavky Qubit,</t>
  </si>
  <si>
    <t>Zkumavka o objemu 1,5 ml nebo 5 ml pro přípravu pracovního roztoku, v závislosti na výše uvedeném objemu.</t>
  </si>
  <si>
    <t>KVANTIFIKACE OBOHACENÝCH KNIHOVEN</t>
  </si>
  <si>
    <t xml:space="preserve">Připravte 2 zkumavky pro standardy a jednu pro každé sdružení. </t>
  </si>
  <si>
    <t>Připravte pracovní roztok dle následujícího rozpisu:</t>
  </si>
  <si>
    <t>Objem (μl)</t>
  </si>
  <si>
    <t>Qubit buffer</t>
  </si>
  <si>
    <t>Qubit dye</t>
  </si>
  <si>
    <t>POZNÁMKA: Tento objem pracovního roztoku zahrnuje rezervu.</t>
  </si>
  <si>
    <t>Vortexujte pracovní roztok po dobu 2–3 sekund a poté krátce odstřeďte.</t>
  </si>
  <si>
    <r>
      <t xml:space="preserve">Dejte </t>
    </r>
    <r>
      <rPr>
        <b/>
        <sz val="11"/>
        <color theme="1"/>
        <rFont val="Calibri"/>
        <family val="2"/>
        <scheme val="minor"/>
      </rPr>
      <t>190 μl</t>
    </r>
    <r>
      <rPr>
        <sz val="11"/>
        <color theme="1"/>
        <rFont val="Calibri"/>
        <family val="2"/>
        <scheme val="minor"/>
      </rPr>
      <t xml:space="preserve"> pracovního roztoku do každé zkumavky pro standardy.</t>
    </r>
  </si>
  <si>
    <r>
      <t>Dejte</t>
    </r>
    <r>
      <rPr>
        <b/>
        <sz val="11"/>
        <color theme="1"/>
        <rFont val="Calibri"/>
        <family val="2"/>
        <scheme val="minor"/>
      </rPr>
      <t xml:space="preserve"> 198 μl</t>
    </r>
    <r>
      <rPr>
        <sz val="11"/>
        <color theme="1"/>
        <rFont val="Calibri"/>
        <family val="2"/>
        <scheme val="minor"/>
      </rPr>
      <t xml:space="preserve"> pracovního roztoku do každé zkumavky pro sdružení.</t>
    </r>
  </si>
  <si>
    <r>
      <t xml:space="preserve">Dejte </t>
    </r>
    <r>
      <rPr>
        <b/>
        <sz val="11"/>
        <color theme="1"/>
        <rFont val="Calibri"/>
        <family val="2"/>
        <scheme val="minor"/>
      </rPr>
      <t>10 μl</t>
    </r>
    <r>
      <rPr>
        <sz val="11"/>
        <color theme="1"/>
        <rFont val="Calibri"/>
        <family val="2"/>
        <scheme val="minor"/>
      </rPr>
      <t xml:space="preserve"> zásobního roztoku daného standardu do příslušné zkumavky.</t>
    </r>
  </si>
  <si>
    <t>Dejte 2 μl z každého sdružení do příslušné zkumavky.</t>
  </si>
  <si>
    <t>Vortexujte všechny zkumavky po dobu 2–3 sekund a poté krátce odstřeďte.</t>
  </si>
  <si>
    <t>Vložte zkumavky do fluorometru Qubit a odečtěte hodnoty (další informace viz protokol Qubit).</t>
  </si>
  <si>
    <t>Zaznamenejte hodnoty Qubit do níže uvedené tabulky.</t>
  </si>
  <si>
    <t>Sdružení #</t>
  </si>
  <si>
    <t>Zkumavka #</t>
  </si>
  <si>
    <t>ID obohaceného sdružení</t>
  </si>
  <si>
    <t xml:space="preserve">1. odečet 
(ng/μl) </t>
  </si>
  <si>
    <t>2. odečet (ng/μl)</t>
  </si>
  <si>
    <t>Průměr (ng/μl)</t>
  </si>
  <si>
    <t>Zaznamenejte výsledky do woorkbooku a vypočítejte průměr.</t>
  </si>
  <si>
    <t>UKONČENÍ PROTOKOLU. PROVEĎTE ŘEDĚNÍ A DENATURACI.</t>
  </si>
  <si>
    <t>ALLOSEQ TX - TAPESTATION VISUALISATION</t>
  </si>
  <si>
    <t>D1000 Ladder</t>
  </si>
  <si>
    <t>2 °C až 8 °C
Dodáno uživatelem</t>
  </si>
  <si>
    <t>D1000 Sample Buffer</t>
  </si>
  <si>
    <t>D1000 ScreenTape,</t>
  </si>
  <si>
    <t>TapeStation Optical tube strips (8x Strip),</t>
  </si>
  <si>
    <t>TapeStation Optical tube strip caps (8x Strip)</t>
  </si>
  <si>
    <t>VIZUALIZACE DISTRIBUCE VELIKOSTÍ OBOHACENÝCH KNIHOVEN</t>
  </si>
  <si>
    <t>Přeneste 1 μl z každého sdružení do nové zkumavky.</t>
  </si>
  <si>
    <t>Přidejte 1 μl D1000 Ladder do referenční zkumavky.</t>
  </si>
  <si>
    <t>Přidejte 3 μl pufru D1000 Sample Buffer do každé zkumavky určené pro testování sdružení a do referenční zkumavky.</t>
  </si>
  <si>
    <t>Všechny zkumavky utěsněte uzávěry.</t>
  </si>
  <si>
    <t>Důkladně vortexujte všechny zkumavky za použití vortexu IKA při 2000 otáčkách za minutu po dobu 1 minuty.</t>
  </si>
  <si>
    <t>Krátce odstřeďte, abyste zajistili, že obsah zkumavek bude na dně.</t>
  </si>
  <si>
    <t>Odvíčkujte a vložte zkumavky se vzorky do přístroje 2200 TapeStation.</t>
  </si>
  <si>
    <t xml:space="preserve">Vyberte požadované pozice zkumavek v 2200 TapeStation Controller Software a spusťte analýzu. </t>
  </si>
  <si>
    <t>Po dokončení testu spusťte TapeStation Analysis Software a zobrazte výsledky.</t>
  </si>
  <si>
    <t>Zaznamenejte výsledky do níže uvedené tabulky:</t>
  </si>
  <si>
    <t>Minimální velikost fragmentů (bp)</t>
  </si>
  <si>
    <t>Poloha píku (bp)</t>
  </si>
  <si>
    <t>Maximální velikost fragmentů (bp)</t>
  </si>
  <si>
    <t xml:space="preserve">ALLOSEQ TX - ŘEDĚNÍ A DENATURACE PHIX </t>
  </si>
  <si>
    <r>
      <rPr>
        <b/>
        <sz val="11"/>
        <color theme="1"/>
        <rFont val="Calibri"/>
        <family val="2"/>
        <scheme val="minor"/>
      </rPr>
      <t xml:space="preserve">POZNÁMKA: </t>
    </r>
    <r>
      <rPr>
        <sz val="11"/>
        <color theme="1"/>
        <rFont val="Calibri"/>
        <family val="2"/>
        <scheme val="minor"/>
      </rPr>
      <t>ZELENÁ pole musí vyplnit operátor během nastavení.</t>
    </r>
  </si>
  <si>
    <r>
      <rPr>
        <b/>
        <sz val="11"/>
        <color theme="1"/>
        <rFont val="Calibri"/>
        <family val="2"/>
        <scheme val="minor"/>
      </rPr>
      <t>POZNÁMKA:</t>
    </r>
    <r>
      <rPr>
        <sz val="11"/>
        <color theme="1"/>
        <rFont val="Calibri"/>
        <family val="2"/>
        <scheme val="minor"/>
      </rPr>
      <t xml:space="preserve"> ŽLUTÁ pole je nutno před tiskem vyplnit.</t>
    </r>
  </si>
  <si>
    <t>REAGENT PREPARATION AND BATCH RECORDS</t>
  </si>
  <si>
    <t xml:space="preserve"> </t>
  </si>
  <si>
    <t>10 nM PhiX</t>
  </si>
  <si>
    <t>–15 °C až –25 °C
Dodáno uživatelem</t>
  </si>
  <si>
    <t>Rozmrazte a poté uchovávejte na ledu.</t>
  </si>
  <si>
    <t>HT1
(se sekvenační kártridží)</t>
  </si>
  <si>
    <t>Připravte pracovní roztok 0,2N NaOH</t>
  </si>
  <si>
    <r>
      <t>POZNÁMKA:</t>
    </r>
    <r>
      <rPr>
        <sz val="11"/>
        <color theme="1"/>
        <rFont val="Calibri"/>
        <family val="2"/>
        <scheme val="minor"/>
      </rPr>
      <t xml:space="preserve"> Roztok NaOH snadno absorbuje CO2 z ovzduší, mění pH a svou účinnost. Pokud se zkumavka 2N NaOH nepoužívá, dobře ji uzavřete.</t>
    </r>
  </si>
  <si>
    <t>ŘEDĚNÍ A DENATURACE PHIX PRO MISEQ A MINISEQ, VÝSLEDKEM JE 20pM DENATUROVANÝ PHIX</t>
  </si>
  <si>
    <t>Dejte 3 μl pufru Resuspension Buffer do nové zkumavky.</t>
  </si>
  <si>
    <t>Do zkumavky přidejte 2 µL 10nM PhiX</t>
  </si>
  <si>
    <t>Do zkumavky přidejte 5 μl pracovního roztoku 0,2N NaOH (příprava viz výše).</t>
  </si>
  <si>
    <t>Zkumavku zvortexujte a krátce odstřeďte.</t>
  </si>
  <si>
    <t>Přidejte 990 μl předchlazeného HT1 do zkumavky obsahující denaturovaný PhiX.</t>
  </si>
  <si>
    <r>
      <rPr>
        <b/>
        <sz val="11"/>
        <color rgb="FF000000"/>
        <rFont val="Calibri"/>
        <family val="2"/>
        <scheme val="minor"/>
      </rPr>
      <t>Invertujte zkumavku</t>
    </r>
    <r>
      <rPr>
        <sz val="11"/>
        <color rgb="FF000000"/>
        <rFont val="Calibri"/>
        <family val="2"/>
        <scheme val="minor"/>
      </rPr>
      <t xml:space="preserve"> (nevortexujte) a poté zkumavku krátce odstřeďte.</t>
    </r>
  </si>
  <si>
    <r>
      <rPr>
        <b/>
        <sz val="11"/>
        <color theme="1"/>
        <rFont val="Calibri"/>
        <family val="2"/>
        <scheme val="minor"/>
      </rPr>
      <t xml:space="preserve">POZNÁMKA: </t>
    </r>
    <r>
      <rPr>
        <sz val="11"/>
        <color theme="1"/>
        <rFont val="Calibri"/>
        <family val="2"/>
        <scheme val="minor"/>
      </rPr>
      <t>Výsledkem je 1 ml 20pM PhiX, který je připraven k použití v přístroji MiSeq. Pro přístroj MiniSeq proveďte další ředění (na 5 pM) popsané níže. Denaturovaný PhiX lze skladovat při teplotě –15 °C až –25 °C po dobu až 1 měsíce.</t>
    </r>
  </si>
  <si>
    <t xml:space="preserve">POUZE PRO PŘÍSTROJ MINISEQ: DÁLE ZŘEĎTE DENATUROVANÝ PHIX NA 5 pM </t>
  </si>
  <si>
    <t>Zadejte níže požadované informace, abyste mohli vypočítat vhodné ředění knihovny:</t>
  </si>
  <si>
    <t>Požadované informace</t>
  </si>
  <si>
    <t>Hodnota</t>
  </si>
  <si>
    <t>Celkový požadovaný objem (μl)</t>
  </si>
  <si>
    <t>Zřeďte PhiX na 5 pM smícháním následujících objemů reagencií v mikrocentrifugační zkumavce:</t>
  </si>
  <si>
    <t xml:space="preserve">20pM denaturovaný PhiX </t>
  </si>
  <si>
    <t>Chlazený HT1</t>
  </si>
  <si>
    <r>
      <rPr>
        <b/>
        <sz val="11"/>
        <color theme="1"/>
        <rFont val="Calibri"/>
        <family val="2"/>
        <scheme val="minor"/>
      </rPr>
      <t>POZNÁMKA:</t>
    </r>
    <r>
      <rPr>
        <sz val="11"/>
        <color theme="1"/>
        <rFont val="Calibri"/>
        <family val="2"/>
        <scheme val="minor"/>
      </rPr>
      <t xml:space="preserve"> Denaturovaný PhiX lze skladovat při teplotě –15 °C až –25 °C po dobu až 1 měsíce.</t>
    </r>
  </si>
  <si>
    <t>POUZE PRO PŘÍSTROJ ISEQ: ZŘEĎTE PHIX NA 20 pM (BEZ DENATURACE)</t>
  </si>
  <si>
    <t>Zřeďte PhiX na 20 pM smícháním následujících objemů reagencií v mikrocentrifugační zkumavce:</t>
  </si>
  <si>
    <t xml:space="preserve">10 nM PhiX </t>
  </si>
  <si>
    <t>UKONČENÍ PROTOKOLU.</t>
  </si>
  <si>
    <t>ALLOSEQ TX - ŘEDĚNÍ A DENATURACE PRO MISEQ</t>
  </si>
  <si>
    <t>ID flowcelly #:</t>
  </si>
  <si>
    <r>
      <rPr>
        <b/>
        <sz val="11"/>
        <color theme="1"/>
        <rFont val="Calibri"/>
        <family val="2"/>
        <scheme val="minor"/>
      </rPr>
      <t xml:space="preserve">POZNÁMKA: </t>
    </r>
    <r>
      <rPr>
        <sz val="11"/>
        <color theme="1"/>
        <rFont val="Calibri"/>
        <family val="2"/>
        <scheme val="minor"/>
      </rPr>
      <t>ŽLUTÁ pole je nutno před tiskem vyplnit.</t>
    </r>
  </si>
  <si>
    <t>AlloSeq Tx Enriched Sample Pool</t>
  </si>
  <si>
    <t>–15 °C až –25 °C
Připraveno uživatelem</t>
  </si>
  <si>
    <t>HT1
(s kártridží MiSeq)</t>
  </si>
  <si>
    <t>20pM PhiX 
(dříve zředěné)</t>
  </si>
  <si>
    <r>
      <t>POZNÁMKA:</t>
    </r>
    <r>
      <rPr>
        <sz val="11"/>
        <color theme="1"/>
        <rFont val="Calibri"/>
        <family val="2"/>
        <scheme val="minor"/>
      </rPr>
      <t xml:space="preserve"> Roztok NaOH snadno absorbuje CO2 z ovzduší, mění pH a svou účinnost. Pokud se zkumavka 2N NaOH nepoužívá, pečlivě ji zavřete.</t>
    </r>
  </si>
  <si>
    <t>INFORMACE POTŘEBNÉ PRO VÝPOČTY ŘEDĚNÍ na 4 nM</t>
  </si>
  <si>
    <t>Koncentrace obohaceného sdružení (ng/μl)</t>
  </si>
  <si>
    <t>Velikost fragmentů obohaceného sdružení (bp)</t>
  </si>
  <si>
    <t>Koncentrace obohaceného sdružení (nM)</t>
  </si>
  <si>
    <t>NAŘEDĚNÍ OBOHACENÉHO SDRUŽENÍ NA 4 nM</t>
  </si>
  <si>
    <t>Zřeďte vzorek na 4 nM smícháním následujících objemů reagencií v mikrocentrifugační zkumavce:</t>
  </si>
  <si>
    <t>Před dalším použitím naředěné sdružení zvortexujte a krátce odstřeďte.</t>
  </si>
  <si>
    <t>DENATURACE 4nM OBOHACENÉHO SDRUŽENÍ, VÝSLEDKEM JE 20pM DENATUROVANÉ SDRUŽENÍ.</t>
  </si>
  <si>
    <t>Dejte 5 μl z 4nM obohaceného sdružení do nové zkumavky.</t>
  </si>
  <si>
    <t>Do zkumavky přidejte 5 μl pracovního roztoku 0,2N NaOH (naředění viz výše).</t>
  </si>
  <si>
    <t>Přidejte 990 μl předchlazeného HT1 do zkumavky obsahující denaturované obohacené sdružení.</t>
  </si>
  <si>
    <t>Invertujte zkumavku (nevortexujte) a poté zkumavku krátce odstřeďte.</t>
  </si>
  <si>
    <r>
      <rPr>
        <b/>
        <sz val="11"/>
        <color theme="1"/>
        <rFont val="Calibri"/>
        <family val="2"/>
        <scheme val="minor"/>
      </rPr>
      <t>POZNÁMKA:</t>
    </r>
    <r>
      <rPr>
        <sz val="11"/>
        <color theme="1"/>
        <rFont val="Calibri"/>
        <family val="2"/>
        <scheme val="minor"/>
      </rPr>
      <t xml:space="preserve"> Výsledkem je 1 ml 20pM sdružení. Sdružení lze skladovat při teplotě –15 °C až –25 °C po dobu až 1 měsíce.</t>
    </r>
  </si>
  <si>
    <t>INFORMACE POTŘEBNÉ PRO VÝPOČET FINÁLNÍHO ŘEDĚNÍ</t>
  </si>
  <si>
    <t xml:space="preserve">Počet sdružení, které mají být pro sekvenování sloučeny </t>
  </si>
  <si>
    <t>Nanášecí koncentrace (pM)</t>
  </si>
  <si>
    <t>Podíl PhiX(%)</t>
  </si>
  <si>
    <t>Objem ředění, minimálně 600 (μl)</t>
  </si>
  <si>
    <t>ŘEDĚNÍ OBOHACENÉHO SDRUŽENÍ NA NANÁŠECÍ KONCENTRACI S OHLEDEM NA PODÍL PHIX</t>
  </si>
  <si>
    <t>Nařeďte sdružení na nanášecí koncentraci smícháním objemů, které jsou uvedeny v následující tabulce (použijte mikrocentrifugační zkumavku):</t>
  </si>
  <si>
    <t>20pM sdružení # 1</t>
  </si>
  <si>
    <t>20pM sdružení # 2</t>
  </si>
  <si>
    <t>20pM sdružení # 3</t>
  </si>
  <si>
    <t>20pM sdružení # 4</t>
  </si>
  <si>
    <r>
      <rPr>
        <b/>
        <sz val="11"/>
        <color rgb="FF000000"/>
        <rFont val="Calibri"/>
        <family val="2"/>
        <scheme val="minor"/>
      </rPr>
      <t xml:space="preserve">Invertujte zkumavku </t>
    </r>
    <r>
      <rPr>
        <sz val="11"/>
        <color rgb="FF000000"/>
        <rFont val="Calibri"/>
        <family val="2"/>
        <scheme val="minor"/>
      </rPr>
      <t>(nevortexujte) a poté ji krátce odstřeďte.</t>
    </r>
  </si>
  <si>
    <t>Dejte stranou na led, dokud nebude připravena reagenční kazeta MiSeq. Po té do kazety napipetujte 600 μl zředěné knihovny.</t>
  </si>
  <si>
    <r>
      <rPr>
        <b/>
        <sz val="11"/>
        <color theme="1"/>
        <rFont val="Calibri"/>
        <family val="2"/>
        <scheme val="minor"/>
      </rPr>
      <t xml:space="preserve">POZNÁMKA: </t>
    </r>
    <r>
      <rPr>
        <sz val="11"/>
        <color theme="1"/>
        <rFont val="Calibri"/>
        <family val="2"/>
        <scheme val="minor"/>
      </rPr>
      <t>Sdružení lze skladovat při teplotě –15 °C až –25 °C až 48 hodin před sekvenováním.</t>
    </r>
  </si>
  <si>
    <t>UKONČENÍ PROTOKOLU. POKRAČUJTE  NA PŘÍSTROJI MISEQ PODLE PROTOKOLU PŘÍSTROJE.</t>
  </si>
  <si>
    <t>ALLOSEQ TX - ŘEDĚNÍ A DENATURACE PRO MINISEQ</t>
  </si>
  <si>
    <t>HT1
(with sequencing cartridge)</t>
  </si>
  <si>
    <t>200 mM Tris-HCl, pH 7.0</t>
  </si>
  <si>
    <t>5 pM PhiX 
(dříve zředěné)</t>
  </si>
  <si>
    <t>Připravte pracovní roztok 0,1N NaOH</t>
  </si>
  <si>
    <t>NAŘEDĚNÍ OBOHACENÉHO SDRUŽENÍ NA 1 nM</t>
  </si>
  <si>
    <t>Zřeďte vzorek na 1 nM smícháním následujících objemů reagencií v mikrocentrifugační zkumavce:</t>
  </si>
  <si>
    <t>DENATURACE 1nM OBOHACENÉHO SDRUŽENÍ, VÝSLEDKEM JE 5pM DENATUROVANÉ SDRUŽENÍ.</t>
  </si>
  <si>
    <t>Dejte 5 μl z 1nM obohaceného sdružení do nové zkumavky.</t>
  </si>
  <si>
    <t>Do zkumavky přidejte 5 μl pracovního roztoku 0,1N NaOH (naředění viz výše).</t>
  </si>
  <si>
    <t>Přidejte 5 µL 200mM Tris-HCl (pH 7.0).</t>
  </si>
  <si>
    <t>Přidejte 985 μl předchlazeného HT1 do zkumavky obsahující denaturované obohacené sdružení.</t>
  </si>
  <si>
    <r>
      <t xml:space="preserve">POZNÁMKA: </t>
    </r>
    <r>
      <rPr>
        <sz val="11"/>
        <color theme="1"/>
        <rFont val="Calibri"/>
        <family val="2"/>
        <scheme val="minor"/>
      </rPr>
      <t>Výsledkem je 1 ml 5pM sdružení. Sdružení lze skladovat při teplotě –15 °C až –25 °C po dobu až 1 měsíce.</t>
    </r>
  </si>
  <si>
    <t>Objem ředění, minimálně 500 (μl)</t>
  </si>
  <si>
    <t>5pM sdružení # 1</t>
  </si>
  <si>
    <t>5pM sdružení # 2</t>
  </si>
  <si>
    <t>5pM sdružení # 3</t>
  </si>
  <si>
    <t>5pM sdružení # 4</t>
  </si>
  <si>
    <t xml:space="preserve">5pM denaturovaný PhiX </t>
  </si>
  <si>
    <t>Dejte stranou na led, dokud nebude připravena reagenční kazeta MiniSeq. Po té do kazety napipetujte 500 μl zředěné knihovny.</t>
  </si>
  <si>
    <t>UKONČENÍ PROTOKOLU. POKRAČUJTE  NA PŘÍSTROJI MINSEQ PODLE PROTOKOLU PŘÍSTROJE.</t>
  </si>
  <si>
    <r>
      <t xml:space="preserve">ALLOSEQ TX - ŘEDĚNÍ PRO </t>
    </r>
    <r>
      <rPr>
        <b/>
        <u/>
        <sz val="14"/>
        <rFont val="Calibri"/>
        <family val="2"/>
        <scheme val="minor"/>
      </rPr>
      <t>ISEQ</t>
    </r>
  </si>
  <si>
    <r>
      <rPr>
        <b/>
        <sz val="11"/>
        <color theme="1"/>
        <rFont val="Calibri"/>
        <family val="2"/>
        <scheme val="minor"/>
      </rPr>
      <t>POZNÁMKA:</t>
    </r>
    <r>
      <rPr>
        <sz val="11"/>
        <color theme="1"/>
        <rFont val="Calibri"/>
        <family val="2"/>
        <scheme val="minor"/>
      </rPr>
      <t xml:space="preserve"> ZELENÁ pole musí vyplnit operátor během nastavení.</t>
    </r>
  </si>
  <si>
    <t>INFORMACE POTŘEBNÉ PRO VÝPOČTY ŘEDĚNÍ na 1 nM</t>
  </si>
  <si>
    <t>Objem ředění, minimálně 20 (μl)</t>
  </si>
  <si>
    <t>1nM sdružení # 1</t>
  </si>
  <si>
    <t>1nM sdružení # 2</t>
  </si>
  <si>
    <t>1nM sdružení # 3</t>
  </si>
  <si>
    <t>1nM sdružení # 4</t>
  </si>
  <si>
    <t>20pM nedenaturovaný PhiX</t>
  </si>
  <si>
    <r>
      <rPr>
        <b/>
        <sz val="11"/>
        <color rgb="FF000000"/>
        <rFont val="Calibri"/>
        <family val="2"/>
        <scheme val="minor"/>
      </rPr>
      <t>Invertujte zkumavku</t>
    </r>
    <r>
      <rPr>
        <sz val="11"/>
        <color rgb="FF000000"/>
        <rFont val="Calibri"/>
        <family val="2"/>
        <scheme val="minor"/>
      </rPr>
      <t xml:space="preserve"> (nevortexujte) a poté ji krátce odstřeďte.</t>
    </r>
  </si>
  <si>
    <t>Dejte stranou na led, dokud nebude připravena reagenční kazeta iSeq. Po té do kazety napipetujte 20 μl zředěné knihovny.</t>
  </si>
  <si>
    <t>UKONČENÍ PROTOKOLU. POKRAČUJTE  NA PŘÍSTROJI ISEQ PODLE PROTOKOLU PŘÍSTROJE.</t>
  </si>
  <si>
    <t xml:space="preserve">VERSION </t>
  </si>
  <si>
    <r>
      <t xml:space="preserve">REVISION DATE 
</t>
    </r>
    <r>
      <rPr>
        <sz val="10"/>
        <color theme="1"/>
        <rFont val="Calibri"/>
        <family val="2"/>
        <scheme val="minor"/>
      </rPr>
      <t>(DDMMMYY )</t>
    </r>
  </si>
  <si>
    <t xml:space="preserve">REVISION DESCRIPTION (IFU095-5-CS v1,0 is translated from English master IFU095-5 v4,1)                                                                                                            </t>
  </si>
  <si>
    <t>IFU095-5 v1,0</t>
  </si>
  <si>
    <t>03MAY2021</t>
  </si>
  <si>
    <t>Initial release of the CE-IVD AlloSeq Tx assay Early Pooling workbook. This workbook was built from IFU083-5_AlloSeq Tx Assay Workbook RUO, v6.0 
Subsequent workbook updates: Deactivation of the 96 Set B/C/D Indexes options. Typographical error corrections. Return to storage after use for subsequent steps statements added in reagent tables where relevant. Added extra guidance around thoroughly mixing Purification Beads to step 1, tab 3.0 and and step 1, tab 7.0 following feedback from field team. Harmonised all instances of pulse spin to pulse-spin. Corrected all instances of 'hybex' to 'Hybex' and 'QuBit' to 'Qubit'. Step 3, tab 3.0 changed from 'Vortex each tube at high speed for 10 seconds' to 'Vortex each tube at high speed until the sample appears homogenous upon visual inspection'. Included clarification comment, "Hold (do not exceed 18 hours at 62°C, inclusive of step #4)" in hybridisation program table. Added 'If beads aren't evenly distributed, repeat shaking as per step 32' in step 33, Library_Prep tab. Added Qubit Broad Range (BR) clarification in reagent table, tab 8.0. Corrected all references to plates/wells to tubes/caps in tab 9.0. Workbook updated to include CE cover page and added CE0197 logo. Updated Volume per Sample (µL) for indexes from 20 to 5 in 2.0 Library_Prep to reflect the actual volume required according to step 29&amp;30. 
Reissued by L.Langley 20 Oct 21</t>
  </si>
  <si>
    <t>IFU095-5 v2,0</t>
  </si>
  <si>
    <t>28Jan22</t>
  </si>
  <si>
    <t>Updated the Library Preparation to include instructions for using the index plate and separated from the index tube instructions. Added clarification to "Confirm the correct orientation of the plate and correct index set. Do not peel the foil seal." Reissued by E. Naughton on 27Apr22</t>
  </si>
  <si>
    <t>IFU095-5 v3,0</t>
  </si>
  <si>
    <t>28JUL2022</t>
  </si>
  <si>
    <t>Workbook updates:
1) Added ASTX9.1(96)-A-IVD and ASTX9.1(96)-B-IVD product codes. 
2) Aligned phrasing between workbook and PDF IFU.                                            Reissued by H. Meraj 29-Jul-22</t>
  </si>
  <si>
    <t>IFU095-5 v 3,1</t>
  </si>
  <si>
    <t>11Aug23</t>
  </si>
  <si>
    <t>Corrections to header and footers of hidden tabs. 
Reissued by N.Carrucan 11Aug23</t>
  </si>
  <si>
    <t>IFU095-5 v 4,0</t>
  </si>
  <si>
    <t xml:space="preserve">19Sep23
</t>
  </si>
  <si>
    <t xml:space="preserve">Explanded import functionality to utilize 24 or 96 sample kits.  Includes well drop down to select the starting position and macro to copy sample names to 1.0 Sample_Prep tab.  Removed references to HistoTrac on 0.1 Import tab; can import an excel file, not just from HT.  Added export functionality to export sample sheet as .csv file and remove any empty rows. Updated Qubit average.
</t>
  </si>
  <si>
    <t>IFU095-5 v4,1</t>
  </si>
  <si>
    <t>28 Sep 23</t>
  </si>
  <si>
    <t>No changes to document itself. Password protection changed on Sample sheet tab to stop error message.</t>
  </si>
  <si>
    <t>IFU095-5-CS v1.0</t>
  </si>
  <si>
    <t>First version of the workbook translated to Czech created</t>
  </si>
  <si>
    <t xml:space="preserve">EXCEL WORKBOOK VERIFICATION </t>
  </si>
  <si>
    <t>WORKBOOK FILE</t>
  </si>
  <si>
    <t>IFU095-5_AlloSeq Tx Assay Workbook</t>
  </si>
  <si>
    <t>WORKBOOK LOCATION</t>
  </si>
  <si>
    <t>S:\DocumentLibrary2\Issued\PDFs\Instructions for Use</t>
  </si>
  <si>
    <t>INTENT OF WORKBOOK, INCLUDING HIGH LEVEL FUNCTIONALITY</t>
  </si>
  <si>
    <r>
      <t xml:space="preserve">This laboratory workbook is intended to be used to perform the </t>
    </r>
    <r>
      <rPr>
        <b/>
        <sz val="11"/>
        <rFont val="Calibri"/>
        <family val="2"/>
        <scheme val="minor"/>
      </rPr>
      <t>AlloSeq Tx Assay Protocol</t>
    </r>
    <r>
      <rPr>
        <sz val="11"/>
        <rFont val="Calibri"/>
        <family val="2"/>
        <scheme val="minor"/>
      </rPr>
      <t>.
The Sample Preparation tab in used to define the experiment number, the probe set, sequencer, number of samples, and list the samples to be processed in a plate layout, which is converted to a table on the linear view tab, that can be used to generate a sample sheet for the sequencer on the sample sheet tab. The calculated the total number of samples is used throughout the workbook to perform volume calculations.</t>
    </r>
    <r>
      <rPr>
        <sz val="11"/>
        <color rgb="FFFF0000"/>
        <rFont val="Calibri"/>
        <family val="2"/>
        <scheme val="minor"/>
      </rPr>
      <t xml:space="preserve">
</t>
    </r>
    <r>
      <rPr>
        <sz val="11"/>
        <rFont val="Calibri"/>
        <family val="2"/>
        <scheme val="minor"/>
      </rPr>
      <t>The library preparation, size selection/purification,  hybridisation, capture, enrichment PCR, purification, QuBit and TapStation tabs describe the required protocol.
The VersionHistory tab is to record each issue/re-issue of the workbook, as well as the changes made to that version.
This Workbook Verification tab is intended to detail the intended functionality and formulas used within the workbook, as well as give clear instructions on how to verify the functionality of the workbook. This tab is to be removed from copies shared externally.</t>
    </r>
  </si>
  <si>
    <t>INTENDED USERS OF WORKBOOK</t>
  </si>
  <si>
    <t>RESEARCH AND DEVELOPMENT TEAM</t>
  </si>
  <si>
    <t>Development team to create new workbooks as needed during product development projects.</t>
  </si>
  <si>
    <t>OPERATIONS TEAM</t>
  </si>
  <si>
    <t xml:space="preserve">Operations team to utilise workbooks during QC of new batches. </t>
  </si>
  <si>
    <t>QA TEAM</t>
  </si>
  <si>
    <t xml:space="preserve">QA team to review workbook/verification to issue workbook. </t>
  </si>
  <si>
    <t>EXTERNAL CUSTOMERS</t>
  </si>
  <si>
    <t>External customers to utilise workbooks to run samples.</t>
  </si>
  <si>
    <t>INSTRUCTIONS FOR VERIFICATION</t>
  </si>
  <si>
    <t xml:space="preserve">1) Print WorkbookVerification tab.                                                                                                                                                                                                                                                                                                                                                                                                                                                     </t>
  </si>
  <si>
    <t xml:space="preserve">2) Enter the information as listed in the 'VERIFICATION METHOD' column of this tab (shown in red text).       </t>
  </si>
  <si>
    <t>3) Visually inspect workbook tabs and verify the information as listed below.</t>
  </si>
  <si>
    <t>4) If the workbook functions as expected record Y in the pass column.</t>
  </si>
  <si>
    <t xml:space="preserve">5) If the workbook does not function as expected, record N in the pass column.                                                                                                                                                           </t>
  </si>
  <si>
    <t>6) If all functions pass, the workbook may be issued. If some functions fail, consult workbook owner for further action.</t>
  </si>
  <si>
    <t>Hidden TAB's</t>
  </si>
  <si>
    <t>DropDowns
IndexLayout
10.1 MiSeq
10.2 MiniSeq
10.3 iSeq
Workbook Verification</t>
  </si>
  <si>
    <t>WORKBOOK TAB: Cover Pages</t>
  </si>
  <si>
    <t>CELLS FORMATTED</t>
  </si>
  <si>
    <t>TITLE</t>
  </si>
  <si>
    <t>INTENDED FUNCTIONALITY</t>
  </si>
  <si>
    <t>FORMULA</t>
  </si>
  <si>
    <t>VERIFICATION METHOD</t>
  </si>
  <si>
    <r>
      <t xml:space="preserve">PASS
</t>
    </r>
    <r>
      <rPr>
        <b/>
        <sz val="10"/>
        <color theme="1"/>
        <rFont val="Calibri"/>
        <family val="2"/>
        <scheme val="minor"/>
      </rPr>
      <t>(Y/N)</t>
    </r>
  </si>
  <si>
    <t>ALL</t>
  </si>
  <si>
    <t>LOCK</t>
  </si>
  <si>
    <t>Worksheet shall be locked to prevent editing. The password is the standard laboratory use password for controlled documents and workbooks.</t>
  </si>
  <si>
    <t>N/A</t>
  </si>
  <si>
    <t xml:space="preserve">Click on cells A2, B2 and C2 of each cover page and confirm that the following warning message appears: "The cell or chart you're trying to change is on a protected sheet. To make a change, unprotect the sheet. You might be requested to enter a password." </t>
  </si>
  <si>
    <t>WORKBOOK TAB: DropDowns</t>
  </si>
  <si>
    <r>
      <t xml:space="preserve">PASS             
</t>
    </r>
    <r>
      <rPr>
        <b/>
        <sz val="10"/>
        <color theme="1"/>
        <rFont val="Calibri"/>
        <family val="2"/>
        <scheme val="minor"/>
      </rPr>
      <t xml:space="preserve"> (Y/N)</t>
    </r>
  </si>
  <si>
    <t>HIDDEN</t>
  </si>
  <si>
    <t>The entire tab should be hidden from users.</t>
  </si>
  <si>
    <r>
      <t xml:space="preserve">Verify that the tab is not visible when opening the workbook. Verify that the tab is present by right clicking on the 1.0 Sample_Prep tab and selecting 'unhide', the DropDowns tab should be avaliable to unhide. </t>
    </r>
    <r>
      <rPr>
        <sz val="11"/>
        <color rgb="FFFF0000"/>
        <rFont val="Calibri"/>
        <family val="2"/>
        <scheme val="minor"/>
      </rPr>
      <t>Unhide the tab to confirm locking below.</t>
    </r>
  </si>
  <si>
    <t xml:space="preserve">Click on cells A2, B2 and F2 and confirm that the following warning message appears: "The cell or chart you're trying to change is on a protected sheet. To make a change, unprotect the sheet. You might be requested to enter a password." </t>
  </si>
  <si>
    <t>WORKBOOK TAB: IndexLayout</t>
  </si>
  <si>
    <r>
      <t xml:space="preserve">Verify that the tab is not visible when opening the workbook. Verify that the tab is present by right clicking on the 1.0 Sample_Prep tab and selecting 'unhide', the IndexLayout tab should be available to unhide. </t>
    </r>
    <r>
      <rPr>
        <sz val="11"/>
        <color rgb="FFFF0000"/>
        <rFont val="Calibri"/>
        <family val="2"/>
        <scheme val="minor"/>
      </rPr>
      <t>Unhide the tab to confirm locking below.</t>
    </r>
  </si>
  <si>
    <t>V3-V8</t>
  </si>
  <si>
    <t>INDEX LIST</t>
  </si>
  <si>
    <t>These cells are used to create an index list that can be applied to the reagents preparation table of the 2.0 Library_Prep. tab.</t>
  </si>
  <si>
    <t>="Indexes: "&amp;B8&amp;", "&amp;C8&amp;", "&amp;D8&amp;", "&amp;E8&amp;", "&amp;F8&amp;", "&amp;G8&amp;", "&amp;H8&amp;", "&amp;I8&amp;", "&amp;J8&amp;", "&amp;K8&amp;", "&amp;L8&amp;", "&amp;M8&amp;", "&amp;N8&amp;", "&amp;O8&amp;", "&amp;P8&amp;", "&amp;Q8&amp;", "&amp;R8&amp;", "&amp;S8&amp;", "&amp;T8&amp;", "&amp;U8</t>
  </si>
  <si>
    <t>Performance of these cells will be assessed on the 2.0 Library_Prep tab.</t>
  </si>
  <si>
    <t>WORKBOOK TAB: 0.1 Import</t>
  </si>
  <si>
    <t xml:space="preserve">Click on cells A2, B2 and C2 and confirm that the following warning message appears: "The cell or chart you're trying to change is on a protected sheet. To make a change, unprotect the sheet. You might be requested to enter a password." </t>
  </si>
  <si>
    <t>Button</t>
  </si>
  <si>
    <t>IMPORT MARCO</t>
  </si>
  <si>
    <t>Macro has been created to import sample lists exported from an excel file. Clicking the button will import the information onto the Sample List column.</t>
  </si>
  <si>
    <t>Follow the below intructions:
- open new excel file and create a list in row A of the workbook with no header, save to desktop,
- go to 0.1 Import tab and click the 'Import  Sample List' button (enable macro if required), select the file and click open.
Verify that the samples are imported into the Sample List Column (column U) of 0.1 Import tab</t>
  </si>
  <si>
    <t>BUILD PLATE MAP MACRO</t>
  </si>
  <si>
    <t>Macro has been created to build the plate map on 1.0 Sample_Prep using the sample list imported from IMPORT MACRO.  Clicking the button will copy the sample list to appropriate wells of the plate map, based on kit type selected and starting well.</t>
  </si>
  <si>
    <t xml:space="preserve">Follow the below instructions:
-ensure that there are samples present in the Sample List Column (column U) of 0.1 Import tab.  (Import Macro should be run first)
-select the type of kit (24 or 96)
-select the starting well
Verify that the samples have been copied into 1.0 Sample_Prep into appropriate wells.  Verify that the error box pops up if the sample list is longer than the number of wells available.
</t>
  </si>
  <si>
    <t>WORKBOOK TAB: 1.0 Sample_Prep</t>
  </si>
  <si>
    <r>
      <t xml:space="preserve">PASS 
</t>
    </r>
    <r>
      <rPr>
        <b/>
        <sz val="10"/>
        <color theme="1"/>
        <rFont val="Calibri"/>
        <family val="2"/>
        <scheme val="minor"/>
      </rPr>
      <t>(Y/N)</t>
    </r>
  </si>
  <si>
    <t>ALL                         (except E3, E4, E5, E6, E8, E9, G23-R31, and F23-F31 and green cells)</t>
  </si>
  <si>
    <t>At the time of issue, the worksheet shall be locked to prevent editing. The password to be used is the standard laboratory use password for controlled documents and workbooks. All cells should be locked except those listed below.</t>
  </si>
  <si>
    <t>Click on cells F7, F32, G22 and E24 and confirm that the following warning message appears: "The cell or chart you're trying to change is on a protected sheet. To make a change, unprotect the sheet. You might be requested to enter a password."</t>
  </si>
  <si>
    <t>E3, E4, E5, E6, E8, E9, G23-R31, and F23-F31 and green cells</t>
  </si>
  <si>
    <t>UNLOCKED</t>
  </si>
  <si>
    <t>The listed cells are to be unlocked to allow operators to record pertinent information.</t>
  </si>
  <si>
    <r>
      <t xml:space="preserve">Enter the values listed below into the cells as listed. Confirm that the cells are unlocked and the values can be entered.
</t>
    </r>
    <r>
      <rPr>
        <sz val="11"/>
        <color rgb="FFFF0000"/>
        <rFont val="Calibri"/>
        <family val="2"/>
        <scheme val="minor"/>
      </rPr>
      <t>E3 = Enter date and initials (ie 20190730HH)
E4 = Enter initials
G28-L31 = Enter date and well number into each cell
M24-R31 = Enter date and well number into each cell</t>
    </r>
  </si>
  <si>
    <t>PROBE SET DROPDOWN</t>
  </si>
  <si>
    <t>This cell is used to allow users to select between a defined number of entry options.</t>
  </si>
  <si>
    <t>Dropdown Option</t>
  </si>
  <si>
    <r>
      <t xml:space="preserve">Verify that the cell allows user to select from:
- Select
- AlloSeqTx17.1
- AlloSeqTx9.1
</t>
    </r>
    <r>
      <rPr>
        <sz val="11"/>
        <color rgb="FFFF0000"/>
        <rFont val="Calibri"/>
        <family val="2"/>
        <scheme val="minor"/>
      </rPr>
      <t>Select AlloSeqTx17.1</t>
    </r>
  </si>
  <si>
    <t>SEQUENCER DROPDOWN</t>
  </si>
  <si>
    <r>
      <t xml:space="preserve">Verify that the cell allows user to select from:
- Select
- MiSeq
- MiniSeq
- iSeq
</t>
    </r>
    <r>
      <rPr>
        <sz val="11"/>
        <color rgb="FFFF0000"/>
        <rFont val="Calibri"/>
        <family val="2"/>
        <scheme val="minor"/>
      </rPr>
      <t>Select MiSeq.</t>
    </r>
  </si>
  <si>
    <t>SEQUENCER MACRO</t>
  </si>
  <si>
    <t>The sequencer drop down is used to control which sequencing instruction is present in the workbook. For example, if MiSeq is selected then the 10.1 MiSeq tab will appear.</t>
  </si>
  <si>
    <t># SAMPLES</t>
  </si>
  <si>
    <t>This cell uses the plate layout in cells G24-R31 to calculate the number of samples to be processed on the run. This Cell should count any samples entered into the plate layout in either text or number format.
Macro command:
Private Sub Worksheet_Change(ByVal Target As Range)
If [E6] = "MiSeq" Then
Sheets("10.1 MiSeq").Visible = True
Else
Sheets("10.1 MiSeq").Visible = False
End If
If [E6] = "MiniSeq" Then
Sheets("10.2 MiniSeq").Visible = True
Else
Sheets("10.2 MiniSeq").Visible = False
End If
If [E6] = "iSeq" Then
Sheets("10.3 iSeq").Visible = True
Else
Sheets("10.3 iSeq").Visible = False
End If
End Sub</t>
  </si>
  <si>
    <t>MACRO</t>
  </si>
  <si>
    <t>Verify that the corresponding sequencing tab appears when selected from the dropdown.</t>
  </si>
  <si>
    <t>E23</t>
  </si>
  <si>
    <t>INDEX SET DROPDOWN</t>
  </si>
  <si>
    <r>
      <t xml:space="preserve">Verify that the cell allows user to select from:
- Select
- 24 Set A Indexes
- 24 Set B Indexes
- 96 Set A Indexes
- 96 Set B Indexes
</t>
    </r>
    <r>
      <rPr>
        <sz val="11"/>
        <color rgb="FFFF0000"/>
        <rFont val="Calibri"/>
        <family val="2"/>
        <scheme val="minor"/>
      </rPr>
      <t>Select 96 Set A Indexes.</t>
    </r>
  </si>
  <si>
    <t>G23-R23</t>
  </si>
  <si>
    <t>INDEX DROPDOWN</t>
  </si>
  <si>
    <r>
      <t xml:space="preserve">Verify that the cell allows user to select from:
- H705     - H701     - H716     - H723
- H706     - H702     - H718     - H724
- H707     - H703     - H719     - H726
- H710     - H704     - H720     - H727
- H711     - H712     - H721     - H728
- H714     - H715     - H722     - H729
</t>
    </r>
    <r>
      <rPr>
        <sz val="11"/>
        <color rgb="FFFF0000"/>
        <rFont val="Calibri"/>
        <family val="2"/>
        <scheme val="minor"/>
      </rPr>
      <t>Confirm that the indexes can be manually overridden, and then return to default.</t>
    </r>
  </si>
  <si>
    <t>F24-F31</t>
  </si>
  <si>
    <r>
      <t xml:space="preserve">Verify that the cell allows user to select from:
- H503             - H510
- H505             - H511
- H506             - H513
- H517             - H522
- H502             - H515
- H507             - H516
- H508             - H518
- H521             - H520
</t>
    </r>
    <r>
      <rPr>
        <sz val="11"/>
        <color rgb="FFFF0000"/>
        <rFont val="Calibri"/>
        <family val="2"/>
        <scheme val="minor"/>
      </rPr>
      <t>Confirm that the indexes can be manually overridden, and then return to default.</t>
    </r>
  </si>
  <si>
    <t>WORKBOOK TAB: 1.1 Linear View</t>
  </si>
  <si>
    <t>D8-D103</t>
  </si>
  <si>
    <t>SAMPLE ID</t>
  </si>
  <si>
    <t>These cells create the sample number in the following format for each sample entered into the plate layout: 
SampleID-HLA-ExperimentID#</t>
  </si>
  <si>
    <t>=IF('1.0 Sample_Prep'!G24="","",('1.0 Sample_Prep'!G24&amp;"-HLA-"&amp;'1.0 Sample_Prep'!$E$3))</t>
  </si>
  <si>
    <t>Verify that the contents in D8 matches the values entered into G24 of 1.0 Sample_Prep, -HLA-, plus experiment number entered into E3of 1.0 Sample_Prep. 
Verify that the sample ID is generated and corresponds to expected format for all samples entered.</t>
  </si>
  <si>
    <t>E8-E103</t>
  </si>
  <si>
    <t>SAMPLE NAME</t>
  </si>
  <si>
    <t>When a sample is present on the plate layout, the sample name shall correspond to the sample ID.</t>
  </si>
  <si>
    <t>=IF(D8="","",(D8))</t>
  </si>
  <si>
    <t>Verify that the sample name is generated and corresponds to the sample ID for all samples entered.</t>
  </si>
  <si>
    <t>F8-F103</t>
  </si>
  <si>
    <t>SAMPLE PLATE</t>
  </si>
  <si>
    <t>When a sample is present on the plate layout, the sample plate cell will correspond to the experiment number.</t>
  </si>
  <si>
    <t>=IF(D8="","",'1.0 Sample_Prep'!$E$3)</t>
  </si>
  <si>
    <t>Verify that the sample plate is generated and corresponds to the experiment ID number entered into E3 of 1.0 Sample_Prep.</t>
  </si>
  <si>
    <t>G8-G103</t>
  </si>
  <si>
    <t>SAMPLE WELL</t>
  </si>
  <si>
    <t>When a sample is present on the plate layout, the sample well will correspond to the Well ID in column C.</t>
  </si>
  <si>
    <t>=IF(D8="","",(C8))</t>
  </si>
  <si>
    <t>Verify that the sample well is generated and corresponds to the expected well number from row C.</t>
  </si>
  <si>
    <t>H8-H103</t>
  </si>
  <si>
    <t>I7 INDEX ID</t>
  </si>
  <si>
    <t>When a sample is present on the plate layout, the I7 Index ID will correspond to the index selected from the i7 index dropdown for the sample column on the plate layout.</t>
  </si>
  <si>
    <t>=IF('1.1 LinearView'!D8="","",('1.0 Sample_Prep'!$G$23))</t>
  </si>
  <si>
    <t>Verify that the indexes listed correspond to those selected in the plate layout for each sample.</t>
  </si>
  <si>
    <t>I8-I103</t>
  </si>
  <si>
    <t>INDEX</t>
  </si>
  <si>
    <t>When a sample is present on the plate layout, the index sequence will correspond to the sequence of the index selected from the i7 index dropdown for the sample column on the plate layout.</t>
  </si>
  <si>
    <t>=IFERROR(VLOOKUP(H8,DropDowns!$C$2:$D$26,2,FALSE),"")</t>
  </si>
  <si>
    <t>For all cells that correspond to wells beginning with 'A', verify that the sequence listed corresponds to the expected sequence for the index in column I, by consulting the table in rows C-D of the dropdowns tab.</t>
  </si>
  <si>
    <t>J8-J103</t>
  </si>
  <si>
    <t>I5 INDEX ID</t>
  </si>
  <si>
    <t>When a sample is present on the plate layout, the I5 Index ID will correspond to the index selected from the I5 index dropdown for the sample row on the plate layout.</t>
  </si>
  <si>
    <t>=IF(D8="","",('1.0 Sample_Prep'!$F$24))</t>
  </si>
  <si>
    <t>K8-K103</t>
  </si>
  <si>
    <t>INDEX2</t>
  </si>
  <si>
    <t>When a sample is present on the plate layout, the index sequence will correspond to the sequence of the index selected from the i5 index dropdown for the sample row on the plate layout.</t>
  </si>
  <si>
    <t>=IFERROR(VLOOKUP(J8,DropDowns!$E$2:$F$18,2,FALSE),"")</t>
  </si>
  <si>
    <t>For cells corresponding to row 1, verify that the sequence listed corresponds to the expected sequence for the index in column K, by consulting the table in rows E-F of the dropdowns tab.</t>
  </si>
  <si>
    <t>L8-L103</t>
  </si>
  <si>
    <t>SAMPLE PROJECT</t>
  </si>
  <si>
    <t>When a sample is present on the plate layout, the sample project will correspond to the experiment ID entered into E3 of 1.0 Sample_Prep.</t>
  </si>
  <si>
    <t>=IF(D8="","",('1.0 Sample_Prep'!$E$3))</t>
  </si>
  <si>
    <t>Verify that the cell shows the experiment ID entered into cell E3 of the 1.0 Sample_Prep tab, for each row containing sample.</t>
  </si>
  <si>
    <t>WORKBOOK TAB: 1.2 SampleSheet</t>
  </si>
  <si>
    <t xml:space="preserve">Click on cells B3, A22 and J22 and confirm that the following warning message appears: "The cell or chart you're trying to change is on a protected sheet. To make a change, unprotect the sheet. You might be requested to enter a password." </t>
  </si>
  <si>
    <t>INVESTIGATOR NAME</t>
  </si>
  <si>
    <t>Information copied from the 1.0 Sample_Prep tab to populate the sample sheet.</t>
  </si>
  <si>
    <t xml:space="preserve"> ='1.0 Sample_Prep'!E8</t>
  </si>
  <si>
    <t>Verify that the contents of the cell matches the values entered into E8 of 1.0 Sample_Prep tab.
If cell includes "Enter" or "Select" the text wil appear in red.</t>
  </si>
  <si>
    <t>EXPERIMENT ID NAME</t>
  </si>
  <si>
    <t xml:space="preserve"> ='1.0 Sample_Prep'!E3</t>
  </si>
  <si>
    <t>Verify that the contents of the cell matches the values entered into E3 of 1.0 Sample_Prep tab.
If cell includes "Enter" or "Select" the text wil appear in red.</t>
  </si>
  <si>
    <t>DATE</t>
  </si>
  <si>
    <t xml:space="preserve"> ='1.0 Sample_Prep'!E9</t>
  </si>
  <si>
    <t>Verify that the contents of the cell matches the values entered into E9 of 1.0 Sample_Prep tab.
If cell includes "Enter" or "Select" the text wil appear in red.</t>
  </si>
  <si>
    <t>INSTRUMENT TYPE</t>
  </si>
  <si>
    <t xml:space="preserve"> ='1.0 Sample_Prep'!E6</t>
  </si>
  <si>
    <t>Verify that the contents of the cell matches the values entered into E6 of 1.0 Sample_Prep tab.
If cell includes "Enter" or "Select" the text wil appear in red.</t>
  </si>
  <si>
    <t>ASSAY</t>
  </si>
  <si>
    <t xml:space="preserve"> ='1.0 Sample_Prep'!E5</t>
  </si>
  <si>
    <t>Verify that the contents of the cell matches the values entered into E5 of 1.0 Sample_Prep tab.
If cell includes "Enter" or "Select" the text wil appear in red.</t>
  </si>
  <si>
    <t>DESCRIPTION</t>
  </si>
  <si>
    <t xml:space="preserve"> ='1.0 Sample_Prep'!E4</t>
  </si>
  <si>
    <t>Verify that the contents of the cell matches the values entered into E4 of 1.0 Sample_Prep tab.
If cell includes "Enter" or "Select" the text wil appear in red.</t>
  </si>
  <si>
    <t>A22-J117</t>
  </si>
  <si>
    <t>SAMPLE SHEET DATA</t>
  </si>
  <si>
    <t>Information copied from the 1.1 LinearView tab to populate the sample sheet.</t>
  </si>
  <si>
    <t>=IF('1.1 LinearView'!D8=" ","",('1.1 LinearView'!D8))</t>
  </si>
  <si>
    <t>Verify that the contents of the cells match the values in the sample list table on the 1.1 LinearView tab.
If cell includes "Enter" or "Select" the text wil appear in red.</t>
  </si>
  <si>
    <t>BUTTON</t>
  </si>
  <si>
    <t>EXPORT MACRO</t>
  </si>
  <si>
    <t>A macro has been added to export the sample sheet as a csv and remove the blank rows.</t>
  </si>
  <si>
    <t>N/a</t>
  </si>
  <si>
    <t>Verify that the correct .csv file is generated at the location selected during the macro run.  Selecting no location will result in an error box.</t>
  </si>
  <si>
    <t>WORKBOOK TAB: 2.0 Library_Prep</t>
  </si>
  <si>
    <t>ALL except green cells</t>
  </si>
  <si>
    <t xml:space="preserve">Click on cells F3, K11 and H33 and confirm that the following warning message appears: "The cell or chart you're trying to change is on a protected sheet. To make a change, unprotect the sheet. You might be requested to enter a password." </t>
  </si>
  <si>
    <t>Green cells</t>
  </si>
  <si>
    <t>Green cells should remain unlocked for users who wish to enter values electroincally.</t>
  </si>
  <si>
    <t>Enter values in cells F4 and G12 to confirm that green cells are unlocked.</t>
  </si>
  <si>
    <t>EXPERIMENT ID #</t>
  </si>
  <si>
    <t>The unique identifier given to the experiment, as entered by the operator on the Sample_Prep tab.</t>
  </si>
  <si>
    <t>Verify that the contents in F3 matches the values entered into E3 of 1.0 Sample_Prep tab.</t>
  </si>
  <si>
    <t>K11</t>
  </si>
  <si>
    <t xml:space="preserve"> #  OF SAMPLES REQUIRED</t>
  </si>
  <si>
    <t>Total number of samples to be processed, as calculated on the Sample_Prep tab.</t>
  </si>
  <si>
    <t xml:space="preserve"> ='1.0 Sample_Prep'!E7</t>
  </si>
  <si>
    <t>Verify that the contents in K11 matches the values entered into E7 of 1.0 Sample_Prep tab.</t>
  </si>
  <si>
    <t>J12</t>
  </si>
  <si>
    <t>TOTAL VOLUME OF REAGENT REQUIRED</t>
  </si>
  <si>
    <t>The total volume of reagent required, calculated by multiplying the total number of tests/pools by the volume per reagent.</t>
  </si>
  <si>
    <t xml:space="preserve"> =$K$11*I12</t>
  </si>
  <si>
    <r>
      <t xml:space="preserve">Verify that the cell shows </t>
    </r>
    <r>
      <rPr>
        <b/>
        <sz val="11"/>
        <rFont val="Calibri"/>
        <family val="2"/>
        <scheme val="minor"/>
      </rPr>
      <t>960</t>
    </r>
  </si>
  <si>
    <t>J13</t>
  </si>
  <si>
    <t xml:space="preserve"> =$K$11*I13</t>
  </si>
  <si>
    <r>
      <t xml:space="preserve">Verify that the cell shows </t>
    </r>
    <r>
      <rPr>
        <b/>
        <sz val="11"/>
        <rFont val="Calibri"/>
        <family val="2"/>
        <scheme val="minor"/>
      </rPr>
      <t>2,880</t>
    </r>
  </si>
  <si>
    <t>J14</t>
  </si>
  <si>
    <t xml:space="preserve"> =$K$11*I14</t>
  </si>
  <si>
    <t>J15</t>
  </si>
  <si>
    <t xml:space="preserve"> =$K$11*I15</t>
  </si>
  <si>
    <t>J16</t>
  </si>
  <si>
    <t xml:space="preserve"> =$K$11*I16</t>
  </si>
  <si>
    <r>
      <t xml:space="preserve">Verify that the cell shows </t>
    </r>
    <r>
      <rPr>
        <b/>
        <sz val="11"/>
        <rFont val="Calibri"/>
        <family val="2"/>
        <scheme val="minor"/>
      </rPr>
      <t>28,800</t>
    </r>
  </si>
  <si>
    <t>J17</t>
  </si>
  <si>
    <t xml:space="preserve"> =$K$11*I17</t>
  </si>
  <si>
    <r>
      <t xml:space="preserve">Verify that the cell shows </t>
    </r>
    <r>
      <rPr>
        <b/>
        <sz val="11"/>
        <rFont val="Calibri"/>
        <family val="2"/>
        <scheme val="minor"/>
      </rPr>
      <t>1,920</t>
    </r>
  </si>
  <si>
    <t>J18</t>
  </si>
  <si>
    <t xml:space="preserve"> =$K$11*I18</t>
  </si>
  <si>
    <t>I33</t>
  </si>
  <si>
    <t xml:space="preserve"> =K11</t>
  </si>
  <si>
    <t>Verify that the contents in I33 matches the values entered into E7 of 1.0 Sample_Prep tab.</t>
  </si>
  <si>
    <t>H34</t>
  </si>
  <si>
    <t>The total volume of reagent required, calculated by multiplying the total number of pools by the volume per reagent, plus 10% extra.</t>
  </si>
  <si>
    <t xml:space="preserve"> =$I$33*G34*1.1</t>
  </si>
  <si>
    <r>
      <t xml:space="preserve">Verify that the cell shows </t>
    </r>
    <r>
      <rPr>
        <b/>
        <sz val="11"/>
        <rFont val="Calibri"/>
        <family val="2"/>
        <scheme val="minor"/>
      </rPr>
      <t>1,056</t>
    </r>
  </si>
  <si>
    <t>H35</t>
  </si>
  <si>
    <t xml:space="preserve"> =$I$33*G35*1.1</t>
  </si>
  <si>
    <r>
      <t xml:space="preserve">Verify that the cell shows </t>
    </r>
    <r>
      <rPr>
        <b/>
        <sz val="11"/>
        <rFont val="Calibri"/>
        <family val="2"/>
        <scheme val="minor"/>
      </rPr>
      <t>2,112</t>
    </r>
  </si>
  <si>
    <t>H36</t>
  </si>
  <si>
    <t xml:space="preserve"> =$I$33*G36*1.1</t>
  </si>
  <si>
    <t>G37</t>
  </si>
  <si>
    <t xml:space="preserve">TOTAL VOLUME </t>
  </si>
  <si>
    <t>The sum of the volumes to be added together.</t>
  </si>
  <si>
    <t xml:space="preserve"> =SUM(G34:G36)</t>
  </si>
  <si>
    <r>
      <t xml:space="preserve">Verify that the cell shows </t>
    </r>
    <r>
      <rPr>
        <b/>
        <sz val="11"/>
        <rFont val="Calibri"/>
        <family val="2"/>
        <scheme val="minor"/>
      </rPr>
      <t>40</t>
    </r>
  </si>
  <si>
    <t>H37</t>
  </si>
  <si>
    <t xml:space="preserve"> =SUM(H34:I36)</t>
  </si>
  <si>
    <r>
      <t xml:space="preserve">Verify that the cell shows </t>
    </r>
    <r>
      <rPr>
        <b/>
        <sz val="11"/>
        <rFont val="Calibri"/>
        <family val="2"/>
        <scheme val="minor"/>
      </rPr>
      <t>4,224</t>
    </r>
  </si>
  <si>
    <t>I77</t>
  </si>
  <si>
    <t>Verify that the contents in I77 matches the values entered into E7 of 1.0 Sample_Prep tab.</t>
  </si>
  <si>
    <t>H78</t>
  </si>
  <si>
    <t xml:space="preserve"> =$I$77*G78*1.1</t>
  </si>
  <si>
    <t>H79</t>
  </si>
  <si>
    <t xml:space="preserve"> =$I$77*G79*1.1</t>
  </si>
  <si>
    <t>G80</t>
  </si>
  <si>
    <t xml:space="preserve"> =SUM(G78:G79)</t>
  </si>
  <si>
    <t>H80</t>
  </si>
  <si>
    <t xml:space="preserve"> =SUM(H78:I79)</t>
  </si>
  <si>
    <t>WORKBOOK TAB: 3.0 SS_Purification</t>
  </si>
  <si>
    <t>ALL except green cells, 
K13, K14, and I35</t>
  </si>
  <si>
    <t xml:space="preserve">Click on cells F3, K22 and I29 and confirm that the following warning message appears: "The cell or chart you're trying to change is on a protected sheet. To make a change, unprotect the sheet. You might be requested to enter a password." </t>
  </si>
  <si>
    <t>Enter values in cells F4 and G23 to confirm that green cells are unlocked.</t>
  </si>
  <si>
    <t>K13, K14, I35</t>
  </si>
  <si>
    <t>The cell shall be unlocked to allow operators to manually override the automated calculations.</t>
  </si>
  <si>
    <t>Verify that the default contents of the cells is:
K13 = 96
K14 = 2.5
I35 = 1
Verify the cells are unlocked and can be edited.</t>
  </si>
  <si>
    <t>K13</t>
  </si>
  <si>
    <t xml:space="preserve"> #  OF SAMPLES </t>
  </si>
  <si>
    <t>This cell displays the number of samples to be pooled, based on the plate layout on 1.0 Sample_Prep tab.
This value can be manually overridden if users wish to vary the number of samples.</t>
  </si>
  <si>
    <t>='1.0 Sample_Prep'!E7</t>
  </si>
  <si>
    <r>
      <t xml:space="preserve">Verify that the cell shows </t>
    </r>
    <r>
      <rPr>
        <b/>
        <sz val="11"/>
        <rFont val="Calibri"/>
        <family val="2"/>
        <scheme val="minor"/>
      </rPr>
      <t>96</t>
    </r>
  </si>
  <si>
    <t>K14</t>
  </si>
  <si>
    <t>VOLUME PER SAMPLE</t>
  </si>
  <si>
    <t>This cell calculates the volume to pool per sample depending on the number of samples to be pooled and which range this falls within. 
This value can be manually overridden if users wish to pool higher volume for poor quality samples.</t>
  </si>
  <si>
    <t>=IF(AND(K13&gt;=6,K13&lt;=24),H14,IF(AND(K13&gt;=25,K13&lt;=48),I14,IF(AND(K13&gt;=49,K13&lt;=96),J14,0)))</t>
  </si>
  <si>
    <r>
      <t xml:space="preserve">Verify that the cell shows </t>
    </r>
    <r>
      <rPr>
        <b/>
        <sz val="11"/>
        <rFont val="Calibri"/>
        <family val="2"/>
        <scheme val="minor"/>
      </rPr>
      <t>2.5</t>
    </r>
  </si>
  <si>
    <t>K15</t>
  </si>
  <si>
    <t>VOLUME OF DILUTED BEADS</t>
  </si>
  <si>
    <t>This cell calculates the amount of diluted beads that is required, based on the number of samples and volume being pooled.</t>
  </si>
  <si>
    <t>=K14*5</t>
  </si>
  <si>
    <r>
      <t xml:space="preserve">Verify that the cell shows </t>
    </r>
    <r>
      <rPr>
        <b/>
        <sz val="11"/>
        <rFont val="Calibri"/>
        <family val="2"/>
        <scheme val="minor"/>
      </rPr>
      <t>12.5</t>
    </r>
  </si>
  <si>
    <t>K16</t>
  </si>
  <si>
    <t>TRANSFER VOLUME</t>
  </si>
  <si>
    <t>This cell calculates the transfer volume that is required, based on the number of samples and volume  being pooled.</t>
  </si>
  <si>
    <t>=K14*5.5</t>
  </si>
  <si>
    <r>
      <t xml:space="preserve">Verify that the cell shows </t>
    </r>
    <r>
      <rPr>
        <b/>
        <sz val="11"/>
        <rFont val="Calibri"/>
        <family val="2"/>
        <scheme val="minor"/>
      </rPr>
      <t>13.75</t>
    </r>
  </si>
  <si>
    <t>K17</t>
  </si>
  <si>
    <t>VOLUME OF NEAT BEADS</t>
  </si>
  <si>
    <t>This cell calculates the amount of neat beads that is required, based on the number of samples and volume being pooled.</t>
  </si>
  <si>
    <t>=K14*0.44</t>
  </si>
  <si>
    <r>
      <t xml:space="preserve">Verify that the cell shows </t>
    </r>
    <r>
      <rPr>
        <b/>
        <sz val="11"/>
        <rFont val="Calibri"/>
        <family val="2"/>
        <scheme val="minor"/>
      </rPr>
      <t>1.1</t>
    </r>
  </si>
  <si>
    <t>K22</t>
  </si>
  <si>
    <t>Total number of samples to be processed, copied from K13 originally calculated on the Sample_Prep tab, but can be manually adjusted.</t>
  </si>
  <si>
    <t>=K13</t>
  </si>
  <si>
    <t>Verify that the contents in K22 matches the values entered into K13.</t>
  </si>
  <si>
    <t>J23</t>
  </si>
  <si>
    <t>The total volume of reagent required, calculated by multiplying the total number of samples (K13) by the volume per reagent needed neat (K17), and adding to the volume required for diluted beads (H30).</t>
  </si>
  <si>
    <t>=H30+(K17*K13)</t>
  </si>
  <si>
    <r>
      <t xml:space="preserve">Verify that the cell shows </t>
    </r>
    <r>
      <rPr>
        <b/>
        <sz val="11"/>
        <rFont val="Calibri"/>
        <family val="2"/>
        <scheme val="minor"/>
      </rPr>
      <t>681.6</t>
    </r>
  </si>
  <si>
    <t>The total volume of reagent required, calculated by combining the values in the bead dilution and 80% ethanol preparation tables.</t>
  </si>
  <si>
    <t>=H31+H37</t>
  </si>
  <si>
    <r>
      <t xml:space="preserve">Verify that the cell shows </t>
    </r>
    <r>
      <rPr>
        <b/>
        <sz val="11"/>
        <rFont val="Calibri"/>
        <family val="2"/>
        <scheme val="minor"/>
      </rPr>
      <t>1,584</t>
    </r>
  </si>
  <si>
    <t>The total volume of reagent required, copied from the 80% ethanol preparation table.</t>
  </si>
  <si>
    <t xml:space="preserve"> =H36</t>
  </si>
  <si>
    <t>The total volume of reagent required, calculated by multiplying the total number of pools by the volume per reagent.</t>
  </si>
  <si>
    <t>=I26*I35</t>
  </si>
  <si>
    <r>
      <t xml:space="preserve">Verify that the cell shows </t>
    </r>
    <r>
      <rPr>
        <b/>
        <sz val="11"/>
        <rFont val="Calibri"/>
        <family val="2"/>
        <scheme val="minor"/>
      </rPr>
      <t>37</t>
    </r>
  </si>
  <si>
    <t>Verify that the contents in I29 matches the values entered into K13.</t>
  </si>
  <si>
    <t xml:space="preserve">The volume of reagent required to dilute the purification beads according to the size selection calculations table and number of samples on the run. </t>
  </si>
  <si>
    <t>=($K$15/5)*2</t>
  </si>
  <si>
    <r>
      <t xml:space="preserve">Verify that the cell shows </t>
    </r>
    <r>
      <rPr>
        <b/>
        <sz val="11"/>
        <rFont val="Calibri"/>
        <family val="2"/>
        <scheme val="minor"/>
      </rPr>
      <t>5</t>
    </r>
  </si>
  <si>
    <t>=($K$15/5)*3</t>
  </si>
  <si>
    <r>
      <t xml:space="preserve">Verify that the cell shows </t>
    </r>
    <r>
      <rPr>
        <b/>
        <sz val="11"/>
        <rFont val="Calibri"/>
        <family val="2"/>
        <scheme val="minor"/>
      </rPr>
      <t>7.5</t>
    </r>
  </si>
  <si>
    <t>The total volume of reagent required, calculated by multiplying the total number of pools by the volume per reagent, plus 20% extra.</t>
  </si>
  <si>
    <t xml:space="preserve"> =$I$29*G30*1.2</t>
  </si>
  <si>
    <r>
      <t xml:space="preserve">Verify that the cell shows </t>
    </r>
    <r>
      <rPr>
        <b/>
        <sz val="11"/>
        <rFont val="Calibri"/>
        <family val="2"/>
        <scheme val="minor"/>
      </rPr>
      <t>576</t>
    </r>
  </si>
  <si>
    <t xml:space="preserve"> =$I$29*G31*1.2</t>
  </si>
  <si>
    <r>
      <t xml:space="preserve">Verify that the cell shows </t>
    </r>
    <r>
      <rPr>
        <b/>
        <sz val="11"/>
        <rFont val="Calibri"/>
        <family val="2"/>
        <scheme val="minor"/>
      </rPr>
      <t>864</t>
    </r>
  </si>
  <si>
    <t>G32</t>
  </si>
  <si>
    <t xml:space="preserve"> =SUM(G30:G31)</t>
  </si>
  <si>
    <t>H32</t>
  </si>
  <si>
    <t xml:space="preserve"> =SUM(H30:I31)</t>
  </si>
  <si>
    <r>
      <t xml:space="preserve">Verify that the cell shows </t>
    </r>
    <r>
      <rPr>
        <b/>
        <sz val="11"/>
        <rFont val="Calibri"/>
        <family val="2"/>
        <scheme val="minor"/>
      </rPr>
      <t>1,440</t>
    </r>
  </si>
  <si>
    <t>The total volume of reagent required, calculated by multiplying the total number of pools by the volume per reagent, plus 50% extra.</t>
  </si>
  <si>
    <t xml:space="preserve"> =$I$35*G36*1.5</t>
  </si>
  <si>
    <t xml:space="preserve"> =$I$35*G37*1.5</t>
  </si>
  <si>
    <r>
      <t xml:space="preserve">Verify that the cell shows </t>
    </r>
    <r>
      <rPr>
        <b/>
        <sz val="11"/>
        <rFont val="Calibri"/>
        <family val="2"/>
        <scheme val="minor"/>
      </rPr>
      <t>720</t>
    </r>
  </si>
  <si>
    <t>G38</t>
  </si>
  <si>
    <t xml:space="preserve"> =SUM(G36:G37)</t>
  </si>
  <si>
    <r>
      <t xml:space="preserve">Verify that the cell shows </t>
    </r>
    <r>
      <rPr>
        <b/>
        <sz val="11"/>
        <rFont val="Calibri"/>
        <family val="2"/>
        <scheme val="minor"/>
      </rPr>
      <t>2,400</t>
    </r>
  </si>
  <si>
    <t>H38</t>
  </si>
  <si>
    <t xml:space="preserve"> =SUM(H36:I37)</t>
  </si>
  <si>
    <r>
      <t xml:space="preserve">Verify that the cell shows </t>
    </r>
    <r>
      <rPr>
        <b/>
        <sz val="11"/>
        <rFont val="Calibri"/>
        <family val="2"/>
        <scheme val="minor"/>
      </rPr>
      <t>3,600</t>
    </r>
  </si>
  <si>
    <t>D49</t>
  </si>
  <si>
    <t>INSTRUCTION</t>
  </si>
  <si>
    <t>This cell contians formula to incorportate the volume required into the instructions depending on the number of samples on the run.</t>
  </si>
  <si>
    <t>="Aliquot "&amp;(G32*I29)&amp;" µL of diluted Purification Beads into the 1.5mL tube."</t>
  </si>
  <si>
    <r>
      <t xml:space="preserve">Verify that the cell shows </t>
    </r>
    <r>
      <rPr>
        <b/>
        <sz val="11"/>
        <rFont val="Calibri"/>
        <family val="2"/>
        <scheme val="minor"/>
      </rPr>
      <t>1,200</t>
    </r>
  </si>
  <si>
    <t>D50</t>
  </si>
  <si>
    <t>="Pipette mix the tagmentation beads and supernatant from indexing PCR, and then add "&amp;K14&amp;" µL of each sample to tube containing diluted Purification Beads."</t>
  </si>
  <si>
    <t>D55</t>
  </si>
  <si>
    <t>="Transfer "&amp;(K13*K16)&amp;" µL of the supernatant to a new tube."</t>
  </si>
  <si>
    <r>
      <t xml:space="preserve">Verify that the cell shows </t>
    </r>
    <r>
      <rPr>
        <b/>
        <sz val="11"/>
        <rFont val="Calibri"/>
        <family val="2"/>
        <scheme val="minor"/>
      </rPr>
      <t>1,320</t>
    </r>
  </si>
  <si>
    <t>D56</t>
  </si>
  <si>
    <t>="Add "&amp;(K13*K17)&amp;" µL of Purification Beads (undiluted) to the tube containing the supernatant."</t>
  </si>
  <si>
    <r>
      <t xml:space="preserve">Verify that the cell shows </t>
    </r>
    <r>
      <rPr>
        <b/>
        <sz val="11"/>
        <rFont val="Calibri"/>
        <family val="2"/>
        <scheme val="minor"/>
      </rPr>
      <t>105.6</t>
    </r>
  </si>
  <si>
    <t>WORKBOOK TAB: 4.0 Hybridisation</t>
  </si>
  <si>
    <t xml:space="preserve">Click on cells F3, K11 and G27 and confirm that the following warning message appears: "The cell or chart you're trying to change is on a protected sheet. To make a change, unprotect the sheet. You might be requested to enter a password." </t>
  </si>
  <si>
    <t>The unique identifier given to the experiment, as entered by the operator on the 1.0 Sample_Prep tab.</t>
  </si>
  <si>
    <t xml:space="preserve"> ='1.0 Sample_Prep'!$E$3</t>
  </si>
  <si>
    <t xml:space="preserve"> #  OF POOLS REQUIRED</t>
  </si>
  <si>
    <t>Total number of pools to be processed, as entered by operator on the 3.0 SS_Purification tab.</t>
  </si>
  <si>
    <t>='3.0 SS_Purification'!I35</t>
  </si>
  <si>
    <t>Verify that the contents in K11 matches the values entered into I35 of 3.0 SS_Purification tab.</t>
  </si>
  <si>
    <r>
      <t xml:space="preserve">Verify that the cell shows </t>
    </r>
    <r>
      <rPr>
        <b/>
        <sz val="11"/>
        <rFont val="Calibri"/>
        <family val="2"/>
        <scheme val="minor"/>
      </rPr>
      <t>10</t>
    </r>
  </si>
  <si>
    <r>
      <t xml:space="preserve">Verify that the cell shows </t>
    </r>
    <r>
      <rPr>
        <b/>
        <sz val="11"/>
        <rFont val="Calibri"/>
        <family val="2"/>
        <scheme val="minor"/>
      </rPr>
      <t>50</t>
    </r>
  </si>
  <si>
    <t>=$K$11*I14</t>
  </si>
  <si>
    <t>TOTAL VOLUME PER POOL</t>
  </si>
  <si>
    <t>=SUM(G27:G30)</t>
  </si>
  <si>
    <r>
      <t xml:space="preserve">Verify that the cell shows </t>
    </r>
    <r>
      <rPr>
        <b/>
        <sz val="11"/>
        <rFont val="Calibri"/>
        <family val="2"/>
        <scheme val="minor"/>
      </rPr>
      <t>100</t>
    </r>
  </si>
  <si>
    <t>WORKBOOK TAB: 5.0 Capture</t>
  </si>
  <si>
    <t xml:space="preserve">Click on cells F3, K11 and I19 and confirm that the following warning message appears: "The cell or chart you're trying to change is on a protected sheet. To make a change, unprotect the sheet. You might be requested to enter a password." </t>
  </si>
  <si>
    <t>Total number of pools to be processed, as entered by operator on the 3.0 SS_Purification tab (replicated on 4.0 Hybridisation).</t>
  </si>
  <si>
    <t>='4.0 Hybridisation'!K11</t>
  </si>
  <si>
    <t>Verify that the contents in K11 matches the values entered into K11 of 4.0 Hybridisation tab.</t>
  </si>
  <si>
    <t xml:space="preserve"> =K11*I12</t>
  </si>
  <si>
    <r>
      <t xml:space="preserve">Verify that the cell shows </t>
    </r>
    <r>
      <rPr>
        <b/>
        <sz val="11"/>
        <rFont val="Calibri"/>
        <family val="2"/>
        <scheme val="minor"/>
      </rPr>
      <t>250</t>
    </r>
  </si>
  <si>
    <t>The total volume of reagent required, calculated by multiplying the total number of tests/pools by the volume per reagent, plus 100uL for excess.</t>
  </si>
  <si>
    <t>=(K11*I13)+(K11*100)</t>
  </si>
  <si>
    <r>
      <t xml:space="preserve">Verify that the cell shows </t>
    </r>
    <r>
      <rPr>
        <b/>
        <sz val="11"/>
        <rFont val="Calibri"/>
        <family val="2"/>
        <scheme val="minor"/>
      </rPr>
      <t>900</t>
    </r>
  </si>
  <si>
    <t>=K11*I14</t>
  </si>
  <si>
    <r>
      <t xml:space="preserve">Verify that the cell shows </t>
    </r>
    <r>
      <rPr>
        <b/>
        <sz val="11"/>
        <rFont val="Calibri"/>
        <family val="2"/>
        <scheme val="minor"/>
      </rPr>
      <t>28.5</t>
    </r>
  </si>
  <si>
    <t>=K11*I15</t>
  </si>
  <si>
    <r>
      <t xml:space="preserve">Verify that the cell shows </t>
    </r>
    <r>
      <rPr>
        <b/>
        <sz val="11"/>
        <rFont val="Calibri"/>
        <family val="2"/>
        <scheme val="minor"/>
      </rPr>
      <t>1.5</t>
    </r>
  </si>
  <si>
    <t>=K11*I16</t>
  </si>
  <si>
    <r>
      <t xml:space="preserve">Verify that the cell shows </t>
    </r>
    <r>
      <rPr>
        <b/>
        <sz val="11"/>
        <rFont val="Calibri"/>
        <family val="2"/>
        <scheme val="minor"/>
      </rPr>
      <t>4</t>
    </r>
  </si>
  <si>
    <t>I19</t>
  </si>
  <si>
    <t>=K11</t>
  </si>
  <si>
    <t>Verify that the contents in I19 matches the values entered into K11 of 4.0 Hybridisation tab.</t>
  </si>
  <si>
    <t>H20</t>
  </si>
  <si>
    <t>=I19*G20</t>
  </si>
  <si>
    <t>H21</t>
  </si>
  <si>
    <t>=I19*G21</t>
  </si>
  <si>
    <t>WORKBOOK TAB: 6.0 Enrich_PCR</t>
  </si>
  <si>
    <t xml:space="preserve">Click on cells F3, K11 and H19 and confirm that the following warning message appears: "The cell or chart you're trying to change is on a protected sheet. To make a change, unprotect the sheet. You might be requested to enter a password." </t>
  </si>
  <si>
    <r>
      <t xml:space="preserve">Verify that the cell shows </t>
    </r>
    <r>
      <rPr>
        <b/>
        <sz val="11"/>
        <rFont val="Calibri"/>
        <family val="2"/>
        <scheme val="minor"/>
      </rPr>
      <t>20</t>
    </r>
  </si>
  <si>
    <t>WORKBOOK TAB: 7.0 Purification</t>
  </si>
  <si>
    <r>
      <t xml:space="preserve">Verify that the cell shows </t>
    </r>
    <r>
      <rPr>
        <b/>
        <sz val="11"/>
        <rFont val="Calibri"/>
        <family val="2"/>
        <scheme val="minor"/>
      </rPr>
      <t>27</t>
    </r>
  </si>
  <si>
    <t>The total volume of reagent required, refer to calculations for H20 below.</t>
  </si>
  <si>
    <t xml:space="preserve"> =H20</t>
  </si>
  <si>
    <r>
      <t xml:space="preserve">Verify that the cell shows </t>
    </r>
    <r>
      <rPr>
        <b/>
        <sz val="11"/>
        <rFont val="Calibri"/>
        <family val="2"/>
        <scheme val="minor"/>
      </rPr>
      <t>120</t>
    </r>
  </si>
  <si>
    <t>The total volume of reagent required, refer to calculations for H19 below.</t>
  </si>
  <si>
    <t xml:space="preserve"> =H19</t>
  </si>
  <si>
    <r>
      <t xml:space="preserve">Verify that the cell shows </t>
    </r>
    <r>
      <rPr>
        <b/>
        <sz val="11"/>
        <rFont val="Calibri"/>
        <family val="2"/>
        <scheme val="minor"/>
      </rPr>
      <t>480</t>
    </r>
  </si>
  <si>
    <r>
      <t xml:space="preserve">Verify that the cell shows </t>
    </r>
    <r>
      <rPr>
        <b/>
        <sz val="11"/>
        <rFont val="Calibri"/>
        <family val="2"/>
        <scheme val="minor"/>
      </rPr>
      <t>32</t>
    </r>
  </si>
  <si>
    <t>I18</t>
  </si>
  <si>
    <t>Verify that the contents in I18 matches the values entered into K11 of 4.0 Hybridisation tab.</t>
  </si>
  <si>
    <t>H19</t>
  </si>
  <si>
    <t xml:space="preserve"> =$I$18*G19*1.5</t>
  </si>
  <si>
    <t xml:space="preserve"> =$I$18*G20*1.5</t>
  </si>
  <si>
    <t>G21</t>
  </si>
  <si>
    <t xml:space="preserve"> =SUM(G19:G20)</t>
  </si>
  <si>
    <r>
      <t xml:space="preserve">Verify that the cell shows </t>
    </r>
    <r>
      <rPr>
        <b/>
        <sz val="11"/>
        <rFont val="Calibri"/>
        <family val="2"/>
        <scheme val="minor"/>
      </rPr>
      <t>400</t>
    </r>
  </si>
  <si>
    <t xml:space="preserve"> =SUM(H19:I20)</t>
  </si>
  <si>
    <r>
      <t xml:space="preserve">Verify that the cell shows </t>
    </r>
    <r>
      <rPr>
        <b/>
        <sz val="11"/>
        <rFont val="Calibri"/>
        <family val="2"/>
        <scheme val="minor"/>
      </rPr>
      <t>600</t>
    </r>
  </si>
  <si>
    <t>WORKBOOK TAB: 8.0 QuBit</t>
  </si>
  <si>
    <t>ALL except green cells and K11</t>
  </si>
  <si>
    <t xml:space="preserve">Click on cells F3, L11 and H19 and confirm that the following warning message appears: "The cell or chart you're trying to change is on a protected sheet. To make a change, unprotect the sheet. You might be requested to enter a password." </t>
  </si>
  <si>
    <r>
      <t xml:space="preserve">Verify that the contents in K11 matches the values entered into K11 of 4.0 Hybridisation tab.
</t>
    </r>
    <r>
      <rPr>
        <sz val="11"/>
        <color rgb="FFFF0000"/>
        <rFont val="Calibri"/>
        <family val="2"/>
        <scheme val="minor"/>
      </rPr>
      <t>Modify such that K11 = 2</t>
    </r>
  </si>
  <si>
    <t>The total volume of reagent required, calculated by multiplying the total number of tests/pools plus 3, by the volume per reagent.</t>
  </si>
  <si>
    <t xml:space="preserve"> =(($K$11+3)*I12)</t>
  </si>
  <si>
    <r>
      <t xml:space="preserve">Verify that the cell shows </t>
    </r>
    <r>
      <rPr>
        <b/>
        <sz val="11"/>
        <rFont val="Calibri"/>
        <family val="2"/>
        <scheme val="minor"/>
      </rPr>
      <t>995</t>
    </r>
  </si>
  <si>
    <t xml:space="preserve"> =(($K$11+3)*I13)</t>
  </si>
  <si>
    <t xml:space="preserve"> =J12</t>
  </si>
  <si>
    <r>
      <t>Verify that the cell shows</t>
    </r>
    <r>
      <rPr>
        <b/>
        <sz val="11"/>
        <rFont val="Calibri"/>
        <family val="2"/>
        <scheme val="minor"/>
      </rPr>
      <t xml:space="preserve"> 995</t>
    </r>
  </si>
  <si>
    <t xml:space="preserve"> =J13</t>
  </si>
  <si>
    <r>
      <t>Verify that the cell shows</t>
    </r>
    <r>
      <rPr>
        <b/>
        <sz val="11"/>
        <rFont val="Calibri"/>
        <family val="2"/>
        <scheme val="minor"/>
      </rPr>
      <t xml:space="preserve"> 5</t>
    </r>
  </si>
  <si>
    <t xml:space="preserve"> =G28+G27</t>
  </si>
  <si>
    <r>
      <t xml:space="preserve">Verify that the cell shows </t>
    </r>
    <r>
      <rPr>
        <b/>
        <sz val="11"/>
        <rFont val="Calibri"/>
        <family val="2"/>
        <scheme val="minor"/>
      </rPr>
      <t>1000</t>
    </r>
  </si>
  <si>
    <t>J43-J50</t>
  </si>
  <si>
    <t>AVERAGE YIELD</t>
  </si>
  <si>
    <t>These cells are used to calculate the average yield, based on values entered into column H and I.</t>
  </si>
  <si>
    <t>=IFERROR(AVERAGE(H##:I##),"")</t>
  </si>
  <si>
    <r>
      <t xml:space="preserve">Enter the following values:
H43 = 14.8
I43 = 15.0
H44 = 10.4
I44 = 12.2
</t>
    </r>
    <r>
      <rPr>
        <sz val="11"/>
        <rFont val="Calibri"/>
        <family val="2"/>
        <scheme val="minor"/>
      </rPr>
      <t xml:space="preserve">Verify that the cell J43 shows </t>
    </r>
    <r>
      <rPr>
        <b/>
        <sz val="11"/>
        <rFont val="Calibri"/>
        <family val="2"/>
        <scheme val="minor"/>
      </rPr>
      <t xml:space="preserve">14.9
</t>
    </r>
    <r>
      <rPr>
        <sz val="11"/>
        <rFont val="Calibri"/>
        <family val="2"/>
        <scheme val="minor"/>
      </rPr>
      <t xml:space="preserve">Verify that the cell J44 shows </t>
    </r>
    <r>
      <rPr>
        <b/>
        <sz val="11"/>
        <rFont val="Calibri"/>
        <family val="2"/>
        <scheme val="minor"/>
      </rPr>
      <t>11.3</t>
    </r>
  </si>
  <si>
    <t>These cells are used to calculate the average yield, based on values entered into column H and I.  If the user enters only one value, the calculation will use that value only in the calculation.</t>
  </si>
  <si>
    <r>
      <t xml:space="preserve">Enter the following values:
H42 = 14
I43 = 10.2
</t>
    </r>
    <r>
      <rPr>
        <sz val="11"/>
        <rFont val="Calibri"/>
        <family val="2"/>
        <scheme val="minor"/>
      </rPr>
      <t xml:space="preserve">Verify that the cell J42 shows </t>
    </r>
    <r>
      <rPr>
        <b/>
        <sz val="11"/>
        <rFont val="Calibri"/>
        <family val="2"/>
        <scheme val="minor"/>
      </rPr>
      <t xml:space="preserve">14
</t>
    </r>
    <r>
      <rPr>
        <sz val="11"/>
        <rFont val="Calibri"/>
        <family val="2"/>
        <scheme val="minor"/>
      </rPr>
      <t xml:space="preserve">Verify that the cell J43 shows </t>
    </r>
    <r>
      <rPr>
        <b/>
        <sz val="11"/>
        <rFont val="Calibri"/>
        <family val="2"/>
        <scheme val="minor"/>
      </rPr>
      <t>10.2</t>
    </r>
  </si>
  <si>
    <t>WORKBOOK TAB: 9.0 TapeStation(Optional)</t>
  </si>
  <si>
    <t>The total volume of reagent required, calculated by multiplying the total number of tests/pools plus 1, by the volume per reagent.</t>
  </si>
  <si>
    <t xml:space="preserve"> =($K$11+1)*I13</t>
  </si>
  <si>
    <r>
      <t>Verify that the cell shows</t>
    </r>
    <r>
      <rPr>
        <b/>
        <sz val="11"/>
        <rFont val="Calibri"/>
        <family val="2"/>
        <scheme val="minor"/>
      </rPr>
      <t xml:space="preserve"> 9</t>
    </r>
  </si>
  <si>
    <t>WORKBOOK TAB: 10.0 PhiX</t>
  </si>
  <si>
    <t>ALL
(except H45, H63 and green cells)</t>
  </si>
  <si>
    <t>At the time of issue, the workbook shall be locked to prevent editing. The password to be used is the standard laboratory use password for controlled documents and workbooks. All cells should be locked except those listed below.</t>
  </si>
  <si>
    <t>Click on cells F2, I15 and H48 and confirm that the following warning message appears: "The cell or chart you're trying to change is on a protected sheet. To make a change, unprotect the sheet. You might be requested to enter a password."</t>
  </si>
  <si>
    <t>H45, H63</t>
  </si>
  <si>
    <r>
      <t xml:space="preserve">Enter the values listed below into the cells as listed. Confirm that the cells are unlocked and the values can be entered.
</t>
    </r>
    <r>
      <rPr>
        <sz val="11"/>
        <color rgb="FFFF0000"/>
        <rFont val="Calibri"/>
        <family val="2"/>
        <scheme val="minor"/>
      </rPr>
      <t xml:space="preserve">H45 = 100       
H63= 100     </t>
    </r>
  </si>
  <si>
    <t>I15</t>
  </si>
  <si>
    <t>VOLUME PER DILUTION</t>
  </si>
  <si>
    <t>The total volume of HT1 reagent required, calculated by adding 990uL used at step D34 and the value in H50.</t>
  </si>
  <si>
    <t>=990+H50</t>
  </si>
  <si>
    <r>
      <t xml:space="preserve">Verify that the cell shows </t>
    </r>
    <r>
      <rPr>
        <b/>
        <sz val="11"/>
        <rFont val="Calibri"/>
        <family val="2"/>
        <scheme val="minor"/>
      </rPr>
      <t>1065</t>
    </r>
  </si>
  <si>
    <t>H49</t>
  </si>
  <si>
    <t>VOLUME REQUIRED</t>
  </si>
  <si>
    <t>The volume of PhiX required,to make the desired volume (in H45) at 5pM, from the 20pM vials. Equivalent to 1 in 4 dilution.</t>
  </si>
  <si>
    <t>=(5*H45)/20</t>
  </si>
  <si>
    <r>
      <t xml:space="preserve">Verify that the cell shows </t>
    </r>
    <r>
      <rPr>
        <b/>
        <sz val="11"/>
        <rFont val="Calibri"/>
        <family val="2"/>
        <scheme val="minor"/>
      </rPr>
      <t>25</t>
    </r>
  </si>
  <si>
    <t>H50</t>
  </si>
  <si>
    <t>The volume of HT1 required, calculated by subtracting the PhiX volume in H49 from the total required volume in H45.</t>
  </si>
  <si>
    <t>=H45-H49</t>
  </si>
  <si>
    <r>
      <t xml:space="preserve">Verify that the cell shows </t>
    </r>
    <r>
      <rPr>
        <b/>
        <sz val="11"/>
        <rFont val="Calibri"/>
        <family val="2"/>
        <scheme val="minor"/>
      </rPr>
      <t>75</t>
    </r>
  </si>
  <si>
    <t>H51</t>
  </si>
  <si>
    <t>=SUM(H49:H50)</t>
  </si>
  <si>
    <r>
      <t xml:space="preserve">Verify that the cell shows </t>
    </r>
    <r>
      <rPr>
        <b/>
        <sz val="11"/>
        <rFont val="Calibri"/>
        <family val="2"/>
        <scheme val="minor"/>
      </rPr>
      <t>100</t>
    </r>
    <r>
      <rPr>
        <sz val="11"/>
        <rFont val="Calibri"/>
        <family val="2"/>
        <scheme val="minor"/>
      </rPr>
      <t>.
Verify that value matches that entered into H45.</t>
    </r>
  </si>
  <si>
    <t>H67</t>
  </si>
  <si>
    <t xml:space="preserve">The volume of PhiX required,to make the desired volume (in H63) at 20pM, from the 10nM vials. </t>
  </si>
  <si>
    <t>=(0.02*H63)/10</t>
  </si>
  <si>
    <r>
      <t xml:space="preserve">Verify that the cell shows </t>
    </r>
    <r>
      <rPr>
        <b/>
        <sz val="11"/>
        <rFont val="Calibri"/>
        <family val="2"/>
        <scheme val="minor"/>
      </rPr>
      <t>0.2</t>
    </r>
  </si>
  <si>
    <t>H68</t>
  </si>
  <si>
    <t>The volume of Resuspension Buffer required, calculated by subtracting the PhiX volume in H67 from the total required volume in H63.</t>
  </si>
  <si>
    <t>=H63-H67</t>
  </si>
  <si>
    <r>
      <t xml:space="preserve">Verify that the cell shows </t>
    </r>
    <r>
      <rPr>
        <b/>
        <sz val="11"/>
        <rFont val="Calibri"/>
        <family val="2"/>
        <scheme val="minor"/>
      </rPr>
      <t>99.8</t>
    </r>
  </si>
  <si>
    <t>H69</t>
  </si>
  <si>
    <t>=SUM(H67:H68)</t>
  </si>
  <si>
    <r>
      <t xml:space="preserve">Verify that the cell shows </t>
    </r>
    <r>
      <rPr>
        <b/>
        <sz val="11"/>
        <rFont val="Calibri"/>
        <family val="2"/>
        <scheme val="minor"/>
      </rPr>
      <t>100</t>
    </r>
    <r>
      <rPr>
        <sz val="11"/>
        <rFont val="Calibri"/>
        <family val="2"/>
        <scheme val="minor"/>
      </rPr>
      <t>.
Verify that value matches that entered into H63.</t>
    </r>
  </si>
  <si>
    <t>WORKBOOK TAB: 10.1 MiSeq</t>
  </si>
  <si>
    <t>ALL
(except F3, H33, H34, H36, H63, H64, H65, H66 and all green cells)</t>
  </si>
  <si>
    <t>Click on cells B3, I12 and H39 and confirm that the following warning message appears: "The cell or chart you're trying to change is on a protected sheet. To make a change, unprotect the sheet. You might be requested to enter a password."</t>
  </si>
  <si>
    <t>F3, H33, H34, H36, H63, H64, H65, H66 and all green cells</t>
  </si>
  <si>
    <r>
      <t xml:space="preserve">Enter the values listed below into the cells as listed. Confirm that the cells are unlocked and the values can be entered.
</t>
    </r>
    <r>
      <rPr>
        <sz val="11"/>
        <color rgb="FFFF0000"/>
        <rFont val="Calibri"/>
        <family val="2"/>
        <scheme val="minor"/>
      </rPr>
      <t xml:space="preserve">F3 = Date
H33 = 12
H34 = 800
H36 = 30
H63 = 1 (enter 2, 3, and 4 as described below)
H64 = 12
H65 = 1%
H66 = 600 </t>
    </r>
    <r>
      <rPr>
        <sz val="11"/>
        <rFont val="Calibri"/>
        <family val="2"/>
        <scheme val="minor"/>
      </rPr>
      <t xml:space="preserve">           
Default values will be entered for cells  H34, H36, H63, H64, H65 and H66 for ease of customer use.</t>
    </r>
  </si>
  <si>
    <t>I12</t>
  </si>
  <si>
    <t>The volume of reagent required, referencing calculation cell in tab.</t>
  </si>
  <si>
    <t>=H43</t>
  </si>
  <si>
    <r>
      <t xml:space="preserve">Verify that the cell shows </t>
    </r>
    <r>
      <rPr>
        <b/>
        <sz val="11"/>
        <rFont val="Calibri"/>
        <family val="2"/>
        <scheme val="minor"/>
      </rPr>
      <t>5.3</t>
    </r>
  </si>
  <si>
    <t>I13</t>
  </si>
  <si>
    <t>=G22</t>
  </si>
  <si>
    <t>I14</t>
  </si>
  <si>
    <t>=G21</t>
  </si>
  <si>
    <r>
      <t xml:space="preserve">Verify that the cell shows </t>
    </r>
    <r>
      <rPr>
        <b/>
        <sz val="11"/>
        <rFont val="Calibri"/>
        <family val="2"/>
        <scheme val="minor"/>
      </rPr>
      <t>45</t>
    </r>
  </si>
  <si>
    <t>The total volume of HT1 reagent required, calculated by adding 990uL used at step D33 and the value in H77.</t>
  </si>
  <si>
    <t>=990+H77</t>
  </si>
  <si>
    <r>
      <t xml:space="preserve">Verify that the cell shows </t>
    </r>
    <r>
      <rPr>
        <b/>
        <sz val="11"/>
        <rFont val="Calibri"/>
        <family val="2"/>
        <scheme val="minor"/>
      </rPr>
      <t>1226.4</t>
    </r>
  </si>
  <si>
    <t>I16</t>
  </si>
  <si>
    <t>=H42</t>
  </si>
  <si>
    <r>
      <t xml:space="preserve">Verify that the cell shows </t>
    </r>
    <r>
      <rPr>
        <b/>
        <sz val="11"/>
        <rFont val="Calibri"/>
        <family val="2"/>
        <scheme val="minor"/>
      </rPr>
      <t>24.7</t>
    </r>
  </si>
  <si>
    <t>I17</t>
  </si>
  <si>
    <t>=H76</t>
  </si>
  <si>
    <r>
      <t xml:space="preserve">Verify that the cell shows </t>
    </r>
    <r>
      <rPr>
        <b/>
        <sz val="11"/>
        <rFont val="Calibri"/>
        <family val="2"/>
        <scheme val="minor"/>
      </rPr>
      <t>3.6</t>
    </r>
  </si>
  <si>
    <t>nM CONC.</t>
  </si>
  <si>
    <t>This cell converts the pool concentration from ng/uL to nM.</t>
  </si>
  <si>
    <t>=((H33)/(660*H34))*10^6</t>
  </si>
  <si>
    <r>
      <t xml:space="preserve">Verify that the cell shows </t>
    </r>
    <r>
      <rPr>
        <b/>
        <sz val="11"/>
        <rFont val="Calibri"/>
        <family val="2"/>
        <scheme val="minor"/>
      </rPr>
      <t>22.73</t>
    </r>
  </si>
  <si>
    <t>H42</t>
  </si>
  <si>
    <t>The volume of Resuspension Buffer required, calculated by subtracting the pool volume in H43 from the total required volume in H36.</t>
  </si>
  <si>
    <t>=H36-H43</t>
  </si>
  <si>
    <t>H43</t>
  </si>
  <si>
    <t>The volume of pool required ,to make the desired volume (in H36) at 4nM, from the concentration calculated in cell H35.</t>
  </si>
  <si>
    <t>=(4*H36)/H35</t>
  </si>
  <si>
    <t>H44</t>
  </si>
  <si>
    <t>=SUM(H42:H43)</t>
  </si>
  <si>
    <r>
      <t xml:space="preserve">Verify that the cell shows </t>
    </r>
    <r>
      <rPr>
        <b/>
        <sz val="11"/>
        <rFont val="Calibri"/>
        <family val="2"/>
        <scheme val="minor"/>
      </rPr>
      <t>30.0</t>
    </r>
    <r>
      <rPr>
        <sz val="11"/>
        <rFont val="Calibri"/>
        <family val="2"/>
        <scheme val="minor"/>
      </rPr>
      <t>.
Verify that value matches that entered into H36.</t>
    </r>
  </si>
  <si>
    <t>H72</t>
  </si>
  <si>
    <t>The volume of pool required, based on the number of pools to be loaded together on same sequencing run (H63), loading concentration (H64), and the desired total volume (H66).</t>
  </si>
  <si>
    <t>=((H64*H66)/20)/H63</t>
  </si>
  <si>
    <t>Verify that when value on left is entered into H63, the value and colour of cell matches those on the right:
1 = 360.0, white
2 = 180.0, white
3 = 120.0, white
4 = 90.0, white</t>
  </si>
  <si>
    <t>H73</t>
  </si>
  <si>
    <t>The volume of pool required, based on the number of pools to be loaded together on same sequencing run (H63), loading concentration (H64), and the desired total volume (H66).
If the cell is not required (ie additonal pools not to  be added) the cell will be greyed out and show a volume of zero.</t>
  </si>
  <si>
    <t>=IF($H$63=1,0,IF($H$63&gt;1,$H$72,""))</t>
  </si>
  <si>
    <t>Verify that when value on left is entered into H63, the value and colour of cell matches those on the right:
1 = 0.0, grey
2 = 180.0, white
3 = 120.0, white
4 = 90.0, white</t>
  </si>
  <si>
    <t>H74</t>
  </si>
  <si>
    <t>=IF($H$63=2,0,IF($H$63&gt;2,$H$72,0))</t>
  </si>
  <si>
    <t>Verify that when value on left is entered into H63, the value and colour of cell matches those on the right:
1 = 0.0, grey
2 = 0.0, grey
3 = 120.0, white
4 = 90.0, white</t>
  </si>
  <si>
    <t>H75</t>
  </si>
  <si>
    <t>=IF($H$63=3,0,IF($H$63&gt;3,$H$72,0))</t>
  </si>
  <si>
    <t>Verify that when value on left is entered into H63, the value and colour of cell matches those on the right:
1 = 0.0, grey
2 = 0.0, grey
3 =0.0, grey
4 = 90.0, white</t>
  </si>
  <si>
    <t>H76</t>
  </si>
  <si>
    <t>The volume of phiX required, based on the loading concentration (H64), spike in concentration (H65) and the desired total volume (H66).</t>
  </si>
  <si>
    <t>=((H64*H66)/20)*H65</t>
  </si>
  <si>
    <t>H77</t>
  </si>
  <si>
    <t>The volume of HT1 required to reach the desired total volume (H66), minus the volume of reagents in H72-H76.</t>
  </si>
  <si>
    <t>=H66-(H72+H73+H74+H75+H76)</t>
  </si>
  <si>
    <r>
      <t xml:space="preserve">Verify that the cell shows </t>
    </r>
    <r>
      <rPr>
        <b/>
        <sz val="11"/>
        <rFont val="Calibri"/>
        <family val="2"/>
        <scheme val="minor"/>
      </rPr>
      <t>236.4</t>
    </r>
  </si>
  <si>
    <t>=SUM(H72:H77)</t>
  </si>
  <si>
    <r>
      <t xml:space="preserve">Verify that the cell shows </t>
    </r>
    <r>
      <rPr>
        <b/>
        <sz val="11"/>
        <rFont val="Calibri"/>
        <family val="2"/>
        <scheme val="minor"/>
      </rPr>
      <t>600</t>
    </r>
    <r>
      <rPr>
        <sz val="11"/>
        <rFont val="Calibri"/>
        <family val="2"/>
        <scheme val="minor"/>
      </rPr>
      <t>.
Verify that value matches that entered into H66.</t>
    </r>
  </si>
  <si>
    <t>WORKBOOK TAB: 10.2 MiniSeq</t>
  </si>
  <si>
    <t>ALL
(except F3, H34, H35, H37, H66, H67, H68 and H69 and all green cells)</t>
  </si>
  <si>
    <t>F3, H34, H35, H37, H66, H67, H68 and H69 and all green cells</t>
  </si>
  <si>
    <r>
      <t xml:space="preserve">Enter the values listed below into the cells as listed. Confirm that the cells are unlocked and the values can be entered.
</t>
    </r>
    <r>
      <rPr>
        <sz val="11"/>
        <color rgb="FFFF0000"/>
        <rFont val="Calibri"/>
        <family val="2"/>
        <scheme val="minor"/>
      </rPr>
      <t xml:space="preserve">F3 = Date
H34 = 12
H35 = 800
H37 = 100
H66 = 1 (enter 2, 3, and 4 as described below)
H67 = 1.6
H68 = 1%
H69 = 500            </t>
    </r>
    <r>
      <rPr>
        <sz val="11"/>
        <rFont val="Calibri"/>
        <family val="2"/>
        <scheme val="minor"/>
      </rPr>
      <t xml:space="preserve">
Default values will be entered for cells  H35, H37, H66, H67, H68 and H69 for ease of customer use.</t>
    </r>
  </si>
  <si>
    <t>=H44</t>
  </si>
  <si>
    <r>
      <t xml:space="preserve">Verify that the cell shows </t>
    </r>
    <r>
      <rPr>
        <b/>
        <sz val="11"/>
        <rFont val="Calibri"/>
        <family val="2"/>
        <scheme val="minor"/>
      </rPr>
      <t>4.4</t>
    </r>
  </si>
  <si>
    <t>=G23</t>
  </si>
  <si>
    <r>
      <t xml:space="preserve">Verify that the cell shows </t>
    </r>
    <r>
      <rPr>
        <b/>
        <sz val="11"/>
        <rFont val="Calibri"/>
        <family val="2"/>
        <scheme val="minor"/>
      </rPr>
      <t>95</t>
    </r>
  </si>
  <si>
    <t>The total volume of HT1 reagent required, calculated by adding 985uL used at step D57 and the value in H80.</t>
  </si>
  <si>
    <t>=985+H80</t>
  </si>
  <si>
    <r>
      <t xml:space="preserve">Verify that the cell shows </t>
    </r>
    <r>
      <rPr>
        <b/>
        <sz val="11"/>
        <rFont val="Calibri"/>
        <family val="2"/>
        <scheme val="minor"/>
      </rPr>
      <t>1323.4</t>
    </r>
  </si>
  <si>
    <r>
      <t xml:space="preserve">Verify that the cell shows </t>
    </r>
    <r>
      <rPr>
        <b/>
        <sz val="11"/>
        <rFont val="Calibri"/>
        <family val="2"/>
        <scheme val="minor"/>
      </rPr>
      <t>95.6</t>
    </r>
  </si>
  <si>
    <t>=H79</t>
  </si>
  <si>
    <r>
      <t xml:space="preserve">Verify that the cell shows </t>
    </r>
    <r>
      <rPr>
        <b/>
        <sz val="11"/>
        <rFont val="Calibri"/>
        <family val="2"/>
        <scheme val="minor"/>
      </rPr>
      <t>1.6</t>
    </r>
  </si>
  <si>
    <t>=((H34)/(660*H35))*10^6</t>
  </si>
  <si>
    <t>The volume of Resuspension Buffer required, calculated by subtracting the pool volume in H44 from the total required volume in H37.</t>
  </si>
  <si>
    <t>=H37-H44</t>
  </si>
  <si>
    <t>The volume of pool required ,to make the desired volume (in H37) at 1nM, from the concentration calculated in cell H36.</t>
  </si>
  <si>
    <t>=(1*H37)/H36</t>
  </si>
  <si>
    <t>H45</t>
  </si>
  <si>
    <t>=SUM(H43:H44)</t>
  </si>
  <si>
    <r>
      <t xml:space="preserve">Verify that the cell shows </t>
    </r>
    <r>
      <rPr>
        <b/>
        <sz val="11"/>
        <rFont val="Calibri"/>
        <family val="2"/>
        <scheme val="minor"/>
      </rPr>
      <t>100.0.</t>
    </r>
    <r>
      <rPr>
        <sz val="11"/>
        <rFont val="Calibri"/>
        <family val="2"/>
        <scheme val="minor"/>
      </rPr>
      <t xml:space="preserve">
Verify that value matches that entered into H37.</t>
    </r>
  </si>
  <si>
    <t>The volume of pool required, based on the number of pools to be loaded together on same sequencing run (H66), loading concentration (H67), and the desired total volume (H69).</t>
  </si>
  <si>
    <t>=((H67*H69)/5)/H66</t>
  </si>
  <si>
    <t>Verify that when value on left is entered into H66, the value and colour of cell matches those on the right:
1 = 160.0, white
2 = 80.0, white
3 = 53.3, white
4 = 40.0, white</t>
  </si>
  <si>
    <t>The volume of pool required, based on the number of pools to be loaded together on same sequencing run (H66), loading concentration (H67), and the desired total volume (H69).
If the cell is not required (ie additonal pools not to  be added) the cell will be greyed out and show a volume of zero.</t>
  </si>
  <si>
    <t>=IF($H$66=1,0,IF($H$66&gt;1,$H$75,""))</t>
  </si>
  <si>
    <t>Verify that when value on left is entered into H66, the value and colour of cell matches those on the right:
1 = 0.0, grey
2 = 80.0, white
3 = 53.3, white
4 = 40.0, white</t>
  </si>
  <si>
    <t>=IF($H$66=2,0,IF($H$66&gt;2,$H$75,0))</t>
  </si>
  <si>
    <t>Verify that when value on left is entered into H66, the value and colour of cell matches those on the right:
1 = 0.0, grey
2 = 0.0, grey
3 = 53.3, white
4 = 40.0, white</t>
  </si>
  <si>
    <t>=IF($H$66=3,0,IF($H$66&gt;3,$H$75,0))</t>
  </si>
  <si>
    <t>Verify that when value on left is entered into H66, the value and colour of cell matches those on the right:
1 = 0.0, grey
2 = 0.0, grey
3 = 0.0, grey
4 = 40.0, white</t>
  </si>
  <si>
    <t>The volume of phiX required, based on the loading concentration (H67), spike in concentration (H68) and the desired total volume (H69).</t>
  </si>
  <si>
    <t>=((H67*H69)/5)*H68</t>
  </si>
  <si>
    <t>The volume of HT1 required to reach the desired total volume (H69), minus the volume of reagents in H75-H79.</t>
  </si>
  <si>
    <t>=H69-(H75+H76+H77+H78+H79)</t>
  </si>
  <si>
    <r>
      <t xml:space="preserve">Verify that the cell shows </t>
    </r>
    <r>
      <rPr>
        <b/>
        <sz val="11"/>
        <rFont val="Calibri"/>
        <family val="2"/>
        <scheme val="minor"/>
      </rPr>
      <t>338.4</t>
    </r>
  </si>
  <si>
    <t>H81</t>
  </si>
  <si>
    <t>=SUM(H75:H80)</t>
  </si>
  <si>
    <r>
      <t xml:space="preserve">Verify that the cell shows </t>
    </r>
    <r>
      <rPr>
        <b/>
        <sz val="11"/>
        <rFont val="Calibri"/>
        <family val="2"/>
        <scheme val="minor"/>
      </rPr>
      <t>500</t>
    </r>
    <r>
      <rPr>
        <sz val="11"/>
        <rFont val="Calibri"/>
        <family val="2"/>
        <scheme val="minor"/>
      </rPr>
      <t>.
Verify that value matches that entered into H69.</t>
    </r>
  </si>
  <si>
    <t>WORKBOOK TAB: 10.3 iSeq</t>
  </si>
  <si>
    <t>ALL
(except F3, H24, H25, H27, H43, H44, H45 and H46 and all green cells)</t>
  </si>
  <si>
    <t>Click on cells B3, H26 and H48 and confirm that the following warning message appears: "The cell or chart you're trying to change is on a protected sheet. To make a change, unprotect the sheet. You might be requested to enter a password."</t>
  </si>
  <si>
    <t>F3, H24, H25, H27, H43, H44, H45 and H46 and all green cells</t>
  </si>
  <si>
    <r>
      <t xml:space="preserve">Enter the values listed below into the cells as listed. Confirm that the cells are unlocked and the values can be entered.
</t>
    </r>
    <r>
      <rPr>
        <sz val="11"/>
        <color rgb="FFFF0000"/>
        <rFont val="Calibri"/>
        <family val="2"/>
        <scheme val="minor"/>
      </rPr>
      <t xml:space="preserve">F3 = Date
H24 = 12
H25 = 800
H27 = 100
H43 = 1 (enter 2, 3, and 4 as described below)
H44 = 200
H45 = 1%
H46 = 100 </t>
    </r>
    <r>
      <rPr>
        <sz val="11"/>
        <rFont val="Calibri"/>
        <family val="2"/>
        <scheme val="minor"/>
      </rPr>
      <t xml:space="preserve">           
Default values will be entered for cells H25, H27, H43, H44, H45 and H46 for ease of customer use.</t>
    </r>
  </si>
  <si>
    <t>=H34</t>
  </si>
  <si>
    <t>=H33+H57</t>
  </si>
  <si>
    <r>
      <t xml:space="preserve">Verify that the cell shows </t>
    </r>
    <r>
      <rPr>
        <b/>
        <sz val="11"/>
        <rFont val="Calibri"/>
        <family val="2"/>
        <scheme val="minor"/>
      </rPr>
      <t>165.6</t>
    </r>
  </si>
  <si>
    <t>=H56</t>
  </si>
  <si>
    <r>
      <t xml:space="preserve">Verify that the cell shows </t>
    </r>
    <r>
      <rPr>
        <b/>
        <sz val="11"/>
        <rFont val="Calibri"/>
        <family val="2"/>
        <scheme val="minor"/>
      </rPr>
      <t>10.0</t>
    </r>
  </si>
  <si>
    <t>=((H24)/(660*H25))*10^6</t>
  </si>
  <si>
    <t>H33</t>
  </si>
  <si>
    <t>The volume of Resuspension Buffer required, calculated by subtracting the pool volume in H34 from the total required volume in H27.</t>
  </si>
  <si>
    <t>=H27-H34</t>
  </si>
  <si>
    <t>The volume of pool required ,to make the desired volume (in H27) at 1nM, from the concentration calculated in cell H26.</t>
  </si>
  <si>
    <t>=(1*H27)/H26</t>
  </si>
  <si>
    <t>=SUM(H33:H34)</t>
  </si>
  <si>
    <r>
      <t xml:space="preserve">Verify that the cell shows </t>
    </r>
    <r>
      <rPr>
        <b/>
        <sz val="11"/>
        <rFont val="Calibri"/>
        <family val="2"/>
        <scheme val="minor"/>
      </rPr>
      <t>100.0.</t>
    </r>
    <r>
      <rPr>
        <sz val="11"/>
        <rFont val="Calibri"/>
        <family val="2"/>
        <scheme val="minor"/>
      </rPr>
      <t xml:space="preserve">
Verify that value matches that entered into H27.</t>
    </r>
  </si>
  <si>
    <t>H52</t>
  </si>
  <si>
    <t>The volume of pool required, based on the number of pools to be loaded together on same sequencing run (H43), loading concentration (H44), and the desired total volume (H46).</t>
  </si>
  <si>
    <t>=((H44*H46)/1000)/H43</t>
  </si>
  <si>
    <t>Verify that when value on left is entered into H43, the value and colour of cell matches those on the right:
1 = 20.0, white
2 = 10.0, white
3 = 6.7, white
4 = 5.0, white</t>
  </si>
  <si>
    <t>H53</t>
  </si>
  <si>
    <t>The volume of pool required, based on the number of pools to be loaded together on same sequencing run (H43), loading concentration (H44), and the desired total volume (H46).
If the cell is not required (ie additonal pools not to  be added) the cell will be greyed out and show a volume of zero.</t>
  </si>
  <si>
    <t>=IF($H$43=1,0,IF($H$43&gt;1,$H$52,""))</t>
  </si>
  <si>
    <t>Verify that when value on left is entered into H43, the value and colour of cell matches those on the right:
1 = 0.0, grey
2 = 10.0, white
3 = 6.7, white
4 = 5.0, white</t>
  </si>
  <si>
    <t>H54</t>
  </si>
  <si>
    <t>=IF($H$43=2,0,IF($H$43&gt;2,$H$52,0))</t>
  </si>
  <si>
    <t>Verify that when value on left is entered into H43, the value and colour of cell matches those on the right:
1 = 0.0, grey
2 = 0.0, grey
3 = 6.7, white
4 = 5.0, white</t>
  </si>
  <si>
    <t>H55</t>
  </si>
  <si>
    <t>=IF($H$43=3,0,IF($H$43&gt;3,$H$52,0))</t>
  </si>
  <si>
    <t>Verify that when value on left is entered into H43, the value and colour of cell matches those on the right:
1 = 0.0, grey
2 = 0.0, grey
3 = 0.0, grey
4 = 5.0, white</t>
  </si>
  <si>
    <t>H56</t>
  </si>
  <si>
    <t>The volume of phiX required, based on the loading concentration (H44), spike in concentration (H45) and the desired total volume (H46).</t>
  </si>
  <si>
    <t>=((H44*H46)/20)*H45</t>
  </si>
  <si>
    <t>H57</t>
  </si>
  <si>
    <t>The volume of HT1 required to reach the desired total volume (H46), minus the volume of reagents in H52-H56.</t>
  </si>
  <si>
    <t>=H46-(H52+H53+H54+H55+H56)</t>
  </si>
  <si>
    <r>
      <t xml:space="preserve">Verify that the cell shows </t>
    </r>
    <r>
      <rPr>
        <b/>
        <sz val="11"/>
        <rFont val="Calibri"/>
        <family val="2"/>
        <scheme val="minor"/>
      </rPr>
      <t>70.0</t>
    </r>
  </si>
  <si>
    <t>H58</t>
  </si>
  <si>
    <t>=SUM(H52:H57)</t>
  </si>
  <si>
    <r>
      <t xml:space="preserve">Verify that the cell shows </t>
    </r>
    <r>
      <rPr>
        <b/>
        <sz val="11"/>
        <rFont val="Calibri"/>
        <family val="2"/>
        <scheme val="minor"/>
      </rPr>
      <t>100</t>
    </r>
    <r>
      <rPr>
        <sz val="11"/>
        <rFont val="Calibri"/>
        <family val="2"/>
        <scheme val="minor"/>
      </rPr>
      <t>.
Verify that value matches that entered into H46.</t>
    </r>
  </si>
  <si>
    <t>WORKBOOK TAB: VersionHistory</t>
  </si>
  <si>
    <t>WORKBOOK TAB: WorkbookVerification</t>
  </si>
  <si>
    <t xml:space="preserve">Click on cells C2, A5 and H21 and confirm that the following warning message appears: "The cell or chart you're trying to change is on a protected sheet. To make a change, unprotect the sheet. You might be requested to enter a password." </t>
  </si>
  <si>
    <t>WORKBOOK VERIFICATION ACCEPTANCE AND RELEASE</t>
  </si>
  <si>
    <t>ACCEPTANCE AND RELEASE CRITERIA</t>
  </si>
  <si>
    <t>Y/N</t>
  </si>
  <si>
    <t>REVIEW</t>
  </si>
  <si>
    <t xml:space="preserve">All required fields of verification report are complete. </t>
  </si>
  <si>
    <r>
      <t xml:space="preserve">AUTHORISATION FOR RELEASE
</t>
    </r>
    <r>
      <rPr>
        <b/>
        <sz val="10"/>
        <rFont val="Calibri"/>
        <family val="2"/>
        <scheme val="minor"/>
      </rPr>
      <t>(INITIALS)</t>
    </r>
  </si>
  <si>
    <r>
      <t xml:space="preserve">DATE </t>
    </r>
    <r>
      <rPr>
        <b/>
        <sz val="10"/>
        <color theme="1"/>
        <rFont val="Calibri"/>
        <family val="2"/>
        <scheme val="minor"/>
      </rPr>
      <t>(DDMMMYY)</t>
    </r>
  </si>
  <si>
    <t>All listed functionality passes verification testing.</t>
  </si>
  <si>
    <t>Proceed to issue the workbook.</t>
  </si>
  <si>
    <t>Revidováno: září 2023</t>
  </si>
  <si>
    <t>21Mar24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</si>
</sst>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yy;@"/>
  </numFmts>
  <fonts count="36">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11"/>
      <color theme="1"/>
      <name val="Calibri"/>
      <family val="2"/>
    </font>
    <font>
      <b/>
      <sz val="11"/>
      <color rgb="FF000000"/>
      <name val="Calibri"/>
      <family val="2"/>
      <scheme val="minor"/>
    </font>
    <font>
      <sz val="11"/>
      <color rgb="FFFF0000"/>
      <name val="Calibri"/>
      <family val="2"/>
      <scheme val="minor"/>
    </font>
    <font>
      <b/>
      <sz val="11"/>
      <name val="Segoe Condensed"/>
    </font>
    <font>
      <b/>
      <sz val="14"/>
      <name val="Segoe Condensed"/>
    </font>
    <font>
      <sz val="10"/>
      <color theme="1"/>
      <name val="Calibri"/>
      <family val="2"/>
      <scheme val="minor"/>
    </font>
    <font>
      <b/>
      <sz val="14"/>
      <name val="Calibri"/>
      <family val="2"/>
      <scheme val="minor"/>
    </font>
    <font>
      <b/>
      <sz val="14"/>
      <color theme="1"/>
      <name val="Calibri"/>
      <family val="2"/>
      <scheme val="minor"/>
    </font>
    <font>
      <sz val="14"/>
      <color theme="1"/>
      <name val="Calibri"/>
      <family val="2"/>
      <scheme val="minor"/>
    </font>
    <font>
      <b/>
      <u/>
      <sz val="11"/>
      <color theme="1"/>
      <name val="Calibri"/>
      <family val="2"/>
      <scheme val="minor"/>
    </font>
    <font>
      <b/>
      <u/>
      <sz val="11"/>
      <name val="Calibri"/>
      <family val="2"/>
      <scheme val="minor"/>
    </font>
    <font>
      <sz val="18"/>
      <color theme="1"/>
      <name val="Calibri"/>
      <family val="2"/>
      <scheme val="minor"/>
    </font>
    <font>
      <b/>
      <sz val="26"/>
      <color rgb="FFC00000"/>
      <name val="Calibri"/>
      <family val="2"/>
      <scheme val="minor"/>
    </font>
    <font>
      <sz val="11"/>
      <name val="Segoe Condensed"/>
    </font>
    <font>
      <b/>
      <sz val="18"/>
      <name val="Segoe Condensed"/>
    </font>
    <font>
      <sz val="16"/>
      <name val="Calibri"/>
      <family val="2"/>
      <scheme val="minor"/>
    </font>
    <font>
      <b/>
      <sz val="10"/>
      <color theme="1"/>
      <name val="Calibri"/>
      <family val="2"/>
      <scheme val="minor"/>
    </font>
    <font>
      <b/>
      <sz val="10"/>
      <name val="Calibri"/>
      <family val="2"/>
      <scheme val="minor"/>
    </font>
    <font>
      <b/>
      <sz val="12"/>
      <color theme="1"/>
      <name val="Calibri"/>
      <family val="2"/>
      <scheme val="minor"/>
    </font>
    <font>
      <b/>
      <u/>
      <sz val="16"/>
      <color theme="1"/>
      <name val="Calibri"/>
      <family val="2"/>
      <scheme val="minor"/>
    </font>
    <font>
      <sz val="12"/>
      <color theme="1"/>
      <name val="Calibri"/>
      <family val="2"/>
      <scheme val="minor"/>
    </font>
    <font>
      <b/>
      <sz val="16"/>
      <color theme="1"/>
      <name val="Calibri"/>
      <family val="2"/>
      <scheme val="minor"/>
    </font>
    <font>
      <sz val="11"/>
      <color theme="0"/>
      <name val="Calibri"/>
      <family val="2"/>
      <scheme val="minor"/>
    </font>
    <font>
      <sz val="11"/>
      <color theme="0"/>
      <name val="Segoe Condensed"/>
    </font>
    <font>
      <b/>
      <u/>
      <sz val="14"/>
      <color theme="1"/>
      <name val="Calibri"/>
      <family val="2"/>
      <scheme val="minor"/>
    </font>
    <font>
      <b/>
      <u/>
      <sz val="14"/>
      <name val="Calibri"/>
      <family val="2"/>
      <scheme val="minor"/>
    </font>
    <font>
      <b/>
      <sz val="26"/>
      <color rgb="FFC00000"/>
      <name val="Calibri"/>
      <family val="2"/>
    </font>
    <font>
      <sz val="16"/>
      <color theme="1"/>
      <name val="Calibri"/>
      <family val="2"/>
      <scheme val="minor"/>
    </font>
    <font>
      <u/>
      <sz val="11"/>
      <color theme="1"/>
      <name val="Calibri"/>
      <family val="2"/>
      <scheme val="minor"/>
    </font>
    <font>
      <b/>
      <sz val="12"/>
      <name val="Calibri"/>
      <family val="2"/>
      <scheme val="minor"/>
    </font>
    <font>
      <u/>
      <sz val="1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07">
    <xf numFmtId="0" fontId="0" fillId="0" borderId="0" xfId="0"/>
    <xf numFmtId="0" fontId="0" fillId="3" borderId="0" xfId="0" applyFill="1" applyAlignment="1">
      <alignment horizontal="center"/>
    </xf>
    <xf numFmtId="0" fontId="0" fillId="3" borderId="1" xfId="0" applyFill="1" applyBorder="1" applyAlignment="1">
      <alignment horizontal="center"/>
    </xf>
    <xf numFmtId="0" fontId="1" fillId="3" borderId="1" xfId="0" applyFont="1" applyFill="1" applyBorder="1" applyAlignment="1">
      <alignment horizontal="center"/>
    </xf>
    <xf numFmtId="0" fontId="0" fillId="3" borderId="0" xfId="0" applyFill="1"/>
    <xf numFmtId="0" fontId="0" fillId="3" borderId="0" xfId="0" applyFill="1" applyAlignment="1">
      <alignment vertical="center"/>
    </xf>
    <xf numFmtId="0" fontId="1" fillId="3" borderId="0" xfId="0" applyFont="1" applyFill="1" applyAlignment="1">
      <alignment horizontal="left" vertical="center"/>
    </xf>
    <xf numFmtId="0" fontId="0" fillId="3" borderId="0" xfId="0" applyFill="1" applyAlignment="1">
      <alignment horizontal="left"/>
    </xf>
    <xf numFmtId="0" fontId="1" fillId="3" borderId="0" xfId="0" applyFont="1" applyFill="1" applyAlignment="1">
      <alignment vertical="center"/>
    </xf>
    <xf numFmtId="0" fontId="4" fillId="3" borderId="0" xfId="0" applyFont="1" applyFill="1" applyAlignment="1">
      <alignment vertical="center"/>
    </xf>
    <xf numFmtId="49" fontId="9" fillId="4" borderId="1" xfId="0" applyNumberFormat="1" applyFont="1" applyFill="1" applyBorder="1" applyAlignment="1">
      <alignment horizontal="center" vertical="center"/>
    </xf>
    <xf numFmtId="0" fontId="0" fillId="3" borderId="1" xfId="0" applyFill="1" applyBorder="1"/>
    <xf numFmtId="0" fontId="0" fillId="4" borderId="1" xfId="0" applyFill="1" applyBorder="1"/>
    <xf numFmtId="0" fontId="0" fillId="4" borderId="1" xfId="0" applyFill="1" applyBorder="1" applyAlignment="1">
      <alignment horizontal="left"/>
    </xf>
    <xf numFmtId="0" fontId="8" fillId="6" borderId="1" xfId="0" applyFont="1" applyFill="1" applyBorder="1" applyAlignment="1" applyProtection="1">
      <alignment horizontal="center" vertical="center"/>
      <protection locked="0"/>
    </xf>
    <xf numFmtId="0" fontId="3" fillId="3" borderId="0" xfId="0" applyFont="1" applyFill="1"/>
    <xf numFmtId="0" fontId="3" fillId="3" borderId="0" xfId="0" applyFont="1" applyFill="1" applyAlignment="1">
      <alignment vertical="center"/>
    </xf>
    <xf numFmtId="0" fontId="0" fillId="3" borderId="0" xfId="0" applyFill="1" applyAlignment="1">
      <alignment wrapText="1"/>
    </xf>
    <xf numFmtId="0" fontId="1" fillId="3" borderId="0" xfId="0" applyFont="1" applyFill="1" applyAlignment="1">
      <alignment vertical="center" wrapText="1"/>
    </xf>
    <xf numFmtId="0" fontId="0" fillId="3" borderId="1" xfId="0" applyFill="1" applyBorder="1" applyAlignment="1">
      <alignment horizontal="center" vertical="center" wrapText="1"/>
    </xf>
    <xf numFmtId="0" fontId="1" fillId="3" borderId="0" xfId="0" applyFont="1" applyFill="1"/>
    <xf numFmtId="0" fontId="0" fillId="0" borderId="8" xfId="0" applyBorder="1"/>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6" fillId="3" borderId="0" xfId="0" applyFont="1" applyFill="1" applyAlignment="1">
      <alignment vertical="center"/>
    </xf>
    <xf numFmtId="0" fontId="7" fillId="3" borderId="0" xfId="0" applyFont="1" applyFill="1" applyAlignment="1">
      <alignment vertical="center"/>
    </xf>
    <xf numFmtId="0" fontId="7" fillId="3" borderId="0" xfId="0" applyFont="1" applyFill="1"/>
    <xf numFmtId="0" fontId="4" fillId="3" borderId="3" xfId="0" applyFont="1" applyFill="1" applyBorder="1" applyAlignment="1">
      <alignment horizontal="center" vertical="center"/>
    </xf>
    <xf numFmtId="49" fontId="5" fillId="3" borderId="1" xfId="0" applyNumberFormat="1" applyFont="1" applyFill="1" applyBorder="1" applyAlignment="1">
      <alignment horizontal="center"/>
    </xf>
    <xf numFmtId="0" fontId="4" fillId="3" borderId="0" xfId="0" applyFont="1" applyFill="1"/>
    <xf numFmtId="1" fontId="1" fillId="4"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applyAlignment="1">
      <alignment horizontal="right"/>
    </xf>
    <xf numFmtId="1"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49"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3" borderId="12" xfId="0" applyFont="1" applyFill="1" applyBorder="1" applyAlignment="1">
      <alignment horizontal="center" vertical="center"/>
    </xf>
    <xf numFmtId="49" fontId="5" fillId="3" borderId="2" xfId="0" applyNumberFormat="1" applyFont="1" applyFill="1" applyBorder="1" applyAlignment="1">
      <alignment horizontal="center"/>
    </xf>
    <xf numFmtId="0" fontId="0" fillId="3" borderId="2" xfId="0" applyFill="1" applyBorder="1" applyAlignment="1">
      <alignment horizontal="center"/>
    </xf>
    <xf numFmtId="0" fontId="4" fillId="3" borderId="10" xfId="0" applyFont="1" applyFill="1" applyBorder="1" applyAlignment="1">
      <alignment horizontal="center" vertical="center"/>
    </xf>
    <xf numFmtId="49" fontId="5" fillId="3" borderId="5" xfId="0" applyNumberFormat="1" applyFont="1" applyFill="1" applyBorder="1" applyAlignment="1">
      <alignment horizontal="center"/>
    </xf>
    <xf numFmtId="0" fontId="0" fillId="3" borderId="5" xfId="0" applyFill="1" applyBorder="1" applyAlignment="1">
      <alignment horizont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49" fontId="5" fillId="3" borderId="15" xfId="0" applyNumberFormat="1" applyFont="1" applyFill="1" applyBorder="1" applyAlignment="1">
      <alignment horizontal="center"/>
    </xf>
    <xf numFmtId="0" fontId="0" fillId="3" borderId="15" xfId="0" applyFill="1" applyBorder="1" applyAlignment="1">
      <alignment horizontal="center"/>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9" fontId="5" fillId="3" borderId="21" xfId="0" applyNumberFormat="1" applyFont="1" applyFill="1" applyBorder="1" applyAlignment="1">
      <alignment horizontal="center"/>
    </xf>
    <xf numFmtId="0" fontId="0" fillId="3" borderId="21" xfId="0" applyFill="1" applyBorder="1" applyAlignment="1">
      <alignment horizont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1" fillId="4" borderId="15" xfId="0" applyFont="1" applyFill="1" applyBorder="1" applyAlignment="1">
      <alignment horizontal="center" wrapText="1"/>
    </xf>
    <xf numFmtId="0" fontId="1" fillId="4" borderId="23" xfId="0" applyFont="1" applyFill="1" applyBorder="1" applyAlignment="1">
      <alignment horizontal="center" vertical="center"/>
    </xf>
    <xf numFmtId="0" fontId="0" fillId="3" borderId="24" xfId="0" applyFill="1" applyBorder="1" applyAlignment="1">
      <alignment horizontal="center" vertical="center"/>
    </xf>
    <xf numFmtId="0" fontId="4" fillId="3" borderId="25" xfId="0" applyFont="1" applyFill="1" applyBorder="1" applyAlignment="1">
      <alignment horizontal="center" vertical="center"/>
    </xf>
    <xf numFmtId="0" fontId="0" fillId="3" borderId="26" xfId="0" applyFill="1" applyBorder="1" applyAlignment="1">
      <alignment horizontal="center" vertical="center"/>
    </xf>
    <xf numFmtId="0" fontId="4" fillId="3" borderId="27" xfId="0" applyFont="1"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4" borderId="1" xfId="0" applyFill="1" applyBorder="1" applyAlignment="1">
      <alignment horizontal="center"/>
    </xf>
    <xf numFmtId="0" fontId="1" fillId="3" borderId="1" xfId="0" applyFont="1" applyFill="1" applyBorder="1" applyAlignment="1">
      <alignment horizontal="center" vertical="center" wrapText="1"/>
    </xf>
    <xf numFmtId="0" fontId="0" fillId="0" borderId="0" xfId="0" applyAlignment="1">
      <alignment horizontal="center"/>
    </xf>
    <xf numFmtId="0" fontId="1" fillId="3" borderId="3" xfId="0" applyFont="1" applyFill="1" applyBorder="1"/>
    <xf numFmtId="0" fontId="0" fillId="3" borderId="6" xfId="0" applyFill="1" applyBorder="1"/>
    <xf numFmtId="0" fontId="0" fillId="3" borderId="1" xfId="0" applyFill="1" applyBorder="1" applyAlignment="1">
      <alignment horizontal="center" vertical="center"/>
    </xf>
    <xf numFmtId="0" fontId="0" fillId="3" borderId="0" xfId="0" applyFill="1" applyAlignment="1">
      <alignment vertical="top"/>
    </xf>
    <xf numFmtId="0" fontId="0" fillId="5" borderId="1" xfId="0" applyFill="1" applyBorder="1" applyProtection="1">
      <protection locked="0"/>
    </xf>
    <xf numFmtId="0" fontId="0" fillId="5" borderId="1" xfId="0" applyFill="1" applyBorder="1" applyAlignment="1" applyProtection="1">
      <alignment vertical="center" wrapText="1"/>
      <protection locked="0"/>
    </xf>
    <xf numFmtId="0" fontId="3" fillId="4" borderId="1" xfId="0" applyFont="1" applyFill="1" applyBorder="1" applyAlignment="1">
      <alignment horizontal="center"/>
    </xf>
    <xf numFmtId="0" fontId="0" fillId="3" borderId="0" xfId="0" applyFill="1" applyAlignment="1">
      <alignment horizontal="center" vertical="center"/>
    </xf>
    <xf numFmtId="49" fontId="0" fillId="3" borderId="1" xfId="0" applyNumberFormat="1" applyFill="1" applyBorder="1" applyAlignment="1">
      <alignment horizontal="center" vertical="center" wrapText="1"/>
    </xf>
    <xf numFmtId="0" fontId="3" fillId="3" borderId="0" xfId="0" applyFont="1" applyFill="1" applyAlignment="1">
      <alignment horizontal="left"/>
    </xf>
    <xf numFmtId="0" fontId="0" fillId="0" borderId="0" xfId="0" applyAlignment="1">
      <alignment horizontal="left"/>
    </xf>
    <xf numFmtId="0" fontId="0" fillId="0" borderId="0" xfId="0" applyAlignment="1">
      <alignment horizontal="center" vertical="center"/>
    </xf>
    <xf numFmtId="165" fontId="0" fillId="0" borderId="0" xfId="0" applyNumberFormat="1"/>
    <xf numFmtId="17" fontId="0" fillId="0" borderId="0" xfId="0" applyNumberFormat="1"/>
    <xf numFmtId="16" fontId="0" fillId="0" borderId="0" xfId="0" applyNumberFormat="1"/>
    <xf numFmtId="0" fontId="0" fillId="5" borderId="1" xfId="0" applyFill="1" applyBorder="1" applyAlignment="1" applyProtection="1">
      <alignment horizontal="center"/>
      <protection locked="0"/>
    </xf>
    <xf numFmtId="0" fontId="0" fillId="5" borderId="1" xfId="0" applyFill="1" applyBorder="1" applyAlignment="1" applyProtection="1">
      <alignment vertical="center"/>
      <protection locked="0"/>
    </xf>
    <xf numFmtId="0" fontId="0" fillId="5" borderId="2" xfId="0" applyFill="1" applyBorder="1" applyProtection="1">
      <protection locked="0"/>
    </xf>
    <xf numFmtId="0" fontId="7" fillId="5" borderId="1" xfId="0" applyFont="1" applyFill="1" applyBorder="1" applyProtection="1">
      <protection locked="0"/>
    </xf>
    <xf numFmtId="0" fontId="0" fillId="5" borderId="5" xfId="0" applyFill="1" applyBorder="1" applyProtection="1">
      <protection locked="0"/>
    </xf>
    <xf numFmtId="0" fontId="0" fillId="5" borderId="1" xfId="0" applyFill="1" applyBorder="1" applyAlignment="1" applyProtection="1">
      <alignment horizontal="center" vertical="center" wrapText="1"/>
      <protection locked="0"/>
    </xf>
    <xf numFmtId="164" fontId="0" fillId="3" borderId="0" xfId="0" applyNumberFormat="1" applyFill="1" applyAlignment="1">
      <alignment horizontal="center"/>
    </xf>
    <xf numFmtId="49" fontId="0" fillId="3" borderId="0" xfId="0" applyNumberFormat="1" applyFill="1" applyAlignment="1">
      <alignment horizontal="center"/>
    </xf>
    <xf numFmtId="0" fontId="0" fillId="3" borderId="0" xfId="0" applyFill="1" applyAlignment="1">
      <alignment horizontal="left" wrapText="1"/>
    </xf>
    <xf numFmtId="164" fontId="17" fillId="3" borderId="0" xfId="0" applyNumberFormat="1" applyFont="1" applyFill="1" applyAlignment="1">
      <alignment horizontal="left"/>
    </xf>
    <xf numFmtId="164" fontId="0" fillId="3" borderId="0" xfId="0" applyNumberFormat="1" applyFill="1" applyAlignment="1">
      <alignment horizontal="left"/>
    </xf>
    <xf numFmtId="49" fontId="0" fillId="3" borderId="0" xfId="0" applyNumberFormat="1" applyFill="1" applyAlignment="1">
      <alignment horizontal="left"/>
    </xf>
    <xf numFmtId="0" fontId="1" fillId="3" borderId="0" xfId="0" applyFont="1" applyFill="1" applyAlignment="1">
      <alignment vertical="top" wrapText="1"/>
    </xf>
    <xf numFmtId="164" fontId="16" fillId="3" borderId="0" xfId="0" applyNumberFormat="1" applyFont="1" applyFill="1" applyAlignment="1">
      <alignment horizontal="left"/>
    </xf>
    <xf numFmtId="0" fontId="0" fillId="3" borderId="1" xfId="0" applyFill="1" applyBorder="1" applyAlignment="1">
      <alignment horizontal="left"/>
    </xf>
    <xf numFmtId="0" fontId="9" fillId="4" borderId="1" xfId="0" applyFont="1" applyFill="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0" fontId="1" fillId="3" borderId="0" xfId="0" applyFont="1" applyFill="1" applyAlignment="1">
      <alignment horizontal="center" vertical="center"/>
    </xf>
    <xf numFmtId="0" fontId="1" fillId="4" borderId="1" xfId="0" applyFont="1" applyFill="1" applyBorder="1"/>
    <xf numFmtId="0" fontId="6" fillId="4" borderId="3" xfId="0" applyFont="1" applyFill="1" applyBorder="1" applyAlignment="1">
      <alignment horizontal="center" vertical="center"/>
    </xf>
    <xf numFmtId="0" fontId="0" fillId="3" borderId="4" xfId="0" applyFill="1" applyBorder="1" applyAlignment="1">
      <alignment horizontal="center" vertical="center"/>
    </xf>
    <xf numFmtId="0" fontId="0" fillId="3" borderId="4" xfId="0" applyFill="1" applyBorder="1" applyAlignment="1">
      <alignment horizontal="center" vertical="center" wrapText="1"/>
    </xf>
    <xf numFmtId="0" fontId="1" fillId="4" borderId="1" xfId="0" applyFont="1" applyFill="1" applyBorder="1" applyAlignment="1">
      <alignment horizontal="center" wrapText="1"/>
    </xf>
    <xf numFmtId="0" fontId="5" fillId="3" borderId="0" xfId="0" applyFont="1" applyFill="1"/>
    <xf numFmtId="0" fontId="4" fillId="3" borderId="0" xfId="0" applyFont="1" applyFill="1" applyAlignment="1">
      <alignment horizontal="right" vertical="center"/>
    </xf>
    <xf numFmtId="0" fontId="2" fillId="3" borderId="0" xfId="0" applyFont="1" applyFill="1" applyAlignment="1">
      <alignment vertical="center"/>
    </xf>
    <xf numFmtId="0" fontId="0" fillId="3" borderId="1" xfId="0" applyFill="1" applyBorder="1" applyAlignment="1">
      <alignment horizontal="center" wrapText="1"/>
    </xf>
    <xf numFmtId="0" fontId="1" fillId="3" borderId="0" xfId="0" applyFont="1" applyFill="1" applyAlignment="1">
      <alignment horizontal="center" vertical="center" wrapText="1"/>
    </xf>
    <xf numFmtId="0" fontId="0" fillId="3" borderId="0" xfId="0" applyFill="1" applyAlignment="1">
      <alignment horizontal="center" vertical="center" wrapText="1"/>
    </xf>
    <xf numFmtId="49" fontId="0" fillId="3" borderId="0" xfId="0" applyNumberFormat="1" applyFill="1" applyAlignment="1">
      <alignment horizontal="center" vertical="center" wrapText="1"/>
    </xf>
    <xf numFmtId="0" fontId="1" fillId="4" borderId="23"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0" fillId="3" borderId="0" xfId="0" applyFill="1" applyAlignment="1">
      <alignment vertical="center" wrapText="1"/>
    </xf>
    <xf numFmtId="0" fontId="0" fillId="3" borderId="0" xfId="0" applyFill="1" applyAlignment="1">
      <alignment horizontal="left" vertical="center"/>
    </xf>
    <xf numFmtId="0" fontId="0" fillId="3" borderId="0" xfId="0" applyFill="1" applyAlignment="1">
      <alignment horizontal="left" vertical="top"/>
    </xf>
    <xf numFmtId="0" fontId="10" fillId="3" borderId="1" xfId="0" applyFont="1" applyFill="1" applyBorder="1" applyAlignment="1">
      <alignment horizontal="left" vertical="top" wrapText="1"/>
    </xf>
    <xf numFmtId="0" fontId="2" fillId="3" borderId="1" xfId="0" applyFont="1" applyFill="1" applyBorder="1" applyAlignment="1">
      <alignment horizontal="center"/>
    </xf>
    <xf numFmtId="1" fontId="2" fillId="4" borderId="1" xfId="0" applyNumberFormat="1" applyFont="1" applyFill="1" applyBorder="1" applyAlignment="1">
      <alignment horizontal="center" vertical="center" wrapText="1"/>
    </xf>
    <xf numFmtId="1" fontId="1" fillId="2" borderId="1" xfId="0" applyNumberFormat="1" applyFont="1" applyFill="1" applyBorder="1" applyAlignment="1" applyProtection="1">
      <alignment horizontal="center" vertical="center"/>
      <protection locked="0"/>
    </xf>
    <xf numFmtId="164" fontId="20" fillId="3" borderId="0" xfId="0" applyNumberFormat="1" applyFont="1" applyFill="1" applyAlignment="1">
      <alignment horizontal="left"/>
    </xf>
    <xf numFmtId="164" fontId="3" fillId="3" borderId="0" xfId="0" applyNumberFormat="1" applyFont="1" applyFill="1" applyAlignment="1">
      <alignment horizontal="center"/>
    </xf>
    <xf numFmtId="49" fontId="3" fillId="3" borderId="0" xfId="0" applyNumberFormat="1" applyFont="1" applyFill="1" applyAlignment="1">
      <alignment horizontal="center"/>
    </xf>
    <xf numFmtId="0" fontId="3" fillId="3" borderId="0" xfId="0" applyFont="1" applyFill="1" applyAlignment="1">
      <alignment horizontal="left" wrapText="1"/>
    </xf>
    <xf numFmtId="0" fontId="3" fillId="3" borderId="0" xfId="0" applyFont="1" applyFill="1" applyAlignment="1">
      <alignment horizontal="center"/>
    </xf>
    <xf numFmtId="0" fontId="18" fillId="2" borderId="1" xfId="0" applyFont="1" applyFill="1" applyBorder="1" applyAlignment="1" applyProtection="1">
      <alignment horizontal="center" vertical="center" wrapText="1"/>
      <protection locked="0"/>
    </xf>
    <xf numFmtId="0" fontId="1" fillId="8" borderId="1" xfId="0" applyFont="1" applyFill="1" applyBorder="1" applyAlignment="1">
      <alignment horizontal="center" vertical="center"/>
    </xf>
    <xf numFmtId="0" fontId="0" fillId="3" borderId="6" xfId="0" applyFill="1" applyBorder="1" applyAlignment="1">
      <alignment vertical="center"/>
    </xf>
    <xf numFmtId="0" fontId="3" fillId="3" borderId="3" xfId="0" applyFont="1" applyFill="1" applyBorder="1" applyAlignment="1">
      <alignment vertical="center"/>
    </xf>
    <xf numFmtId="0" fontId="3" fillId="4" borderId="1" xfId="0" applyFont="1" applyFill="1" applyBorder="1" applyAlignment="1">
      <alignment vertical="center"/>
    </xf>
    <xf numFmtId="0" fontId="23" fillId="8" borderId="1" xfId="0" applyFont="1" applyFill="1" applyBorder="1" applyAlignment="1">
      <alignment horizontal="center" vertical="center" wrapText="1"/>
    </xf>
    <xf numFmtId="0" fontId="4" fillId="3" borderId="0" xfId="0" applyFont="1" applyFill="1" applyAlignment="1">
      <alignment horizontal="center" vertical="center"/>
    </xf>
    <xf numFmtId="0" fontId="0" fillId="3" borderId="0" xfId="0" applyFill="1" applyProtection="1">
      <protection locked="0"/>
    </xf>
    <xf numFmtId="1" fontId="1" fillId="2" borderId="1" xfId="0" applyNumberFormat="1" applyFont="1" applyFill="1" applyBorder="1" applyAlignment="1" applyProtection="1">
      <alignment horizontal="center" vertical="center" wrapText="1"/>
      <protection locked="0"/>
    </xf>
    <xf numFmtId="49" fontId="0" fillId="9" borderId="1" xfId="0" applyNumberFormat="1" applyFill="1" applyBorder="1" applyAlignment="1">
      <alignment horizontal="center" vertical="center" wrapText="1"/>
    </xf>
    <xf numFmtId="0" fontId="0" fillId="9" borderId="1" xfId="0" applyFill="1" applyBorder="1" applyAlignment="1">
      <alignment horizontal="center" vertical="center"/>
    </xf>
    <xf numFmtId="1" fontId="2" fillId="4"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27" fillId="3" borderId="0" xfId="0" applyFont="1" applyFill="1"/>
    <xf numFmtId="0" fontId="0" fillId="2" borderId="1" xfId="0" applyFill="1" applyBorder="1" applyAlignment="1" applyProtection="1">
      <alignment horizontal="center"/>
      <protection locked="0"/>
    </xf>
    <xf numFmtId="1" fontId="0" fillId="4" borderId="1" xfId="0" applyNumberFormat="1" applyFill="1" applyBorder="1" applyAlignment="1">
      <alignment horizontal="center"/>
    </xf>
    <xf numFmtId="164" fontId="0" fillId="3" borderId="1" xfId="0" applyNumberFormat="1" applyFill="1" applyBorder="1" applyAlignment="1">
      <alignment horizontal="center"/>
    </xf>
    <xf numFmtId="164" fontId="0" fillId="3" borderId="1" xfId="0" applyNumberFormat="1" applyFill="1" applyBorder="1" applyAlignment="1">
      <alignment horizontal="center" vertical="center"/>
    </xf>
    <xf numFmtId="0" fontId="0" fillId="3" borderId="0" xfId="0" quotePrefix="1" applyFill="1" applyAlignment="1">
      <alignment horizontal="center" vertical="center"/>
    </xf>
    <xf numFmtId="164" fontId="0" fillId="4" borderId="1" xfId="0" applyNumberFormat="1" applyFill="1" applyBorder="1" applyAlignment="1">
      <alignment horizontal="center"/>
    </xf>
    <xf numFmtId="9" fontId="0" fillId="2" borderId="1" xfId="0" applyNumberFormat="1" applyFill="1" applyBorder="1" applyAlignment="1" applyProtection="1">
      <alignment horizontal="center"/>
      <protection locked="0"/>
    </xf>
    <xf numFmtId="2" fontId="0" fillId="4" borderId="1" xfId="0" applyNumberFormat="1" applyFill="1" applyBorder="1" applyAlignment="1">
      <alignment horizontal="center"/>
    </xf>
    <xf numFmtId="164" fontId="0" fillId="3" borderId="0" xfId="0" applyNumberFormat="1" applyFill="1" applyAlignment="1">
      <alignment horizontal="center" vertical="center"/>
    </xf>
    <xf numFmtId="49" fontId="0" fillId="3" borderId="0" xfId="0" applyNumberFormat="1" applyFill="1" applyAlignment="1">
      <alignment horizontal="center" vertical="center"/>
    </xf>
    <xf numFmtId="0" fontId="3" fillId="3" borderId="10" xfId="0" applyFont="1" applyFill="1" applyBorder="1" applyAlignment="1">
      <alignment vertical="center"/>
    </xf>
    <xf numFmtId="0" fontId="0" fillId="3" borderId="7" xfId="0" applyFill="1" applyBorder="1" applyAlignment="1">
      <alignment vertical="center"/>
    </xf>
    <xf numFmtId="0" fontId="0" fillId="3" borderId="9" xfId="0" applyFill="1" applyBorder="1" applyAlignment="1">
      <alignment vertical="center"/>
    </xf>
    <xf numFmtId="0" fontId="4" fillId="3" borderId="0" xfId="0" applyFont="1" applyFill="1" applyAlignment="1">
      <alignment vertical="top"/>
    </xf>
    <xf numFmtId="0" fontId="4" fillId="3" borderId="1" xfId="0" applyFont="1" applyFill="1" applyBorder="1" applyAlignment="1">
      <alignment horizontal="center" vertical="top"/>
    </xf>
    <xf numFmtId="49" fontId="5" fillId="3" borderId="1" xfId="0" applyNumberFormat="1" applyFont="1" applyFill="1" applyBorder="1" applyAlignment="1">
      <alignment horizontal="center" vertical="center"/>
    </xf>
    <xf numFmtId="0" fontId="0" fillId="3" borderId="4" xfId="0" applyFill="1" applyBorder="1" applyAlignment="1">
      <alignment vertical="center"/>
    </xf>
    <xf numFmtId="0" fontId="3" fillId="3" borderId="1" xfId="0" applyFont="1" applyFill="1" applyBorder="1" applyAlignment="1">
      <alignment horizontal="center" vertical="center"/>
    </xf>
    <xf numFmtId="0" fontId="0" fillId="0" borderId="4" xfId="0" applyBorder="1" applyAlignment="1">
      <alignment vertical="center"/>
    </xf>
    <xf numFmtId="0" fontId="3" fillId="4" borderId="1" xfId="0" applyFont="1" applyFill="1" applyBorder="1" applyAlignment="1">
      <alignment vertical="center" wrapText="1"/>
    </xf>
    <xf numFmtId="49" fontId="10" fillId="3" borderId="4" xfId="0" applyNumberFormat="1" applyFont="1" applyFill="1" applyBorder="1" applyAlignment="1">
      <alignment horizontal="center" vertical="top"/>
    </xf>
    <xf numFmtId="164" fontId="10" fillId="3" borderId="2" xfId="0" applyNumberFormat="1" applyFont="1" applyFill="1" applyBorder="1" applyAlignment="1">
      <alignment horizontal="center" vertical="top"/>
    </xf>
    <xf numFmtId="164" fontId="10" fillId="3" borderId="3" xfId="0" applyNumberFormat="1" applyFont="1" applyFill="1" applyBorder="1" applyAlignment="1">
      <alignment horizontal="center" vertical="top"/>
    </xf>
    <xf numFmtId="49" fontId="10" fillId="3" borderId="1" xfId="0" applyNumberFormat="1" applyFont="1" applyFill="1" applyBorder="1" applyAlignment="1">
      <alignment horizontal="center" vertical="top"/>
    </xf>
    <xf numFmtId="164" fontId="21" fillId="4" borderId="2" xfId="0" applyNumberFormat="1" applyFont="1" applyFill="1" applyBorder="1" applyAlignment="1">
      <alignment horizontal="center" vertical="center" wrapText="1"/>
    </xf>
    <xf numFmtId="49" fontId="21" fillId="4" borderId="1" xfId="0" applyNumberFormat="1" applyFont="1" applyFill="1" applyBorder="1" applyAlignment="1">
      <alignment horizontal="center" vertical="center" wrapText="1"/>
    </xf>
    <xf numFmtId="0" fontId="21" fillId="4" borderId="1" xfId="0" applyFont="1" applyFill="1" applyBorder="1" applyAlignment="1">
      <alignment horizontal="left" vertical="center" wrapText="1"/>
    </xf>
    <xf numFmtId="164" fontId="32" fillId="3" borderId="0" xfId="0" applyNumberFormat="1" applyFont="1" applyFill="1" applyAlignment="1">
      <alignment horizontal="left"/>
    </xf>
    <xf numFmtId="49" fontId="0" fillId="3" borderId="0" xfId="0" applyNumberFormat="1" applyFill="1"/>
    <xf numFmtId="0" fontId="33" fillId="3" borderId="0" xfId="0" applyFont="1" applyFill="1"/>
    <xf numFmtId="0" fontId="2" fillId="3" borderId="0" xfId="0" applyFont="1" applyFill="1"/>
    <xf numFmtId="0" fontId="2" fillId="3" borderId="0" xfId="0" applyFont="1" applyFill="1" applyAlignment="1">
      <alignment vertical="top"/>
    </xf>
    <xf numFmtId="0" fontId="3" fillId="3" borderId="0" xfId="0" applyFont="1" applyFill="1" applyAlignment="1">
      <alignment vertical="top"/>
    </xf>
    <xf numFmtId="0" fontId="33" fillId="3" borderId="0" xfId="0" applyFont="1" applyFill="1" applyAlignment="1">
      <alignment vertical="top"/>
    </xf>
    <xf numFmtId="0" fontId="26" fillId="3" borderId="32" xfId="0" applyFont="1" applyFill="1" applyBorder="1" applyAlignment="1">
      <alignment horizontal="center"/>
    </xf>
    <xf numFmtId="0" fontId="34" fillId="3" borderId="0" xfId="0" applyFont="1" applyFill="1"/>
    <xf numFmtId="0" fontId="28" fillId="3" borderId="0" xfId="0" applyFont="1" applyFill="1" applyAlignment="1" applyProtection="1">
      <alignment horizontal="center" vertical="center" wrapText="1"/>
      <protection locked="0"/>
    </xf>
    <xf numFmtId="164" fontId="10" fillId="3" borderId="1" xfId="0" applyNumberFormat="1" applyFont="1" applyFill="1" applyBorder="1" applyAlignment="1">
      <alignment horizontal="center" vertical="top"/>
    </xf>
    <xf numFmtId="49" fontId="10" fillId="3" borderId="1" xfId="0" applyNumberFormat="1" applyFont="1" applyFill="1" applyBorder="1" applyAlignment="1">
      <alignment horizontal="center" vertical="top" wrapText="1"/>
    </xf>
    <xf numFmtId="0" fontId="10" fillId="3" borderId="1" xfId="0" applyFont="1" applyFill="1" applyBorder="1" applyAlignment="1">
      <alignment vertical="top" wrapText="1"/>
    </xf>
    <xf numFmtId="0" fontId="0" fillId="3" borderId="5" xfId="0"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Border="1" applyAlignment="1" applyProtection="1">
      <alignment horizontal="left"/>
      <protection locked="0"/>
    </xf>
    <xf numFmtId="0" fontId="34" fillId="8" borderId="1" xfId="0" applyFont="1" applyFill="1" applyBorder="1" applyAlignment="1">
      <alignment horizontal="center" vertical="center" wrapText="1"/>
    </xf>
    <xf numFmtId="49" fontId="1" fillId="4" borderId="1" xfId="0" applyNumberFormat="1" applyFont="1" applyFill="1" applyBorder="1" applyAlignment="1">
      <alignment horizontal="center"/>
    </xf>
    <xf numFmtId="49" fontId="2" fillId="4" borderId="1" xfId="0" applyNumberFormat="1" applyFont="1" applyFill="1" applyBorder="1" applyAlignment="1">
      <alignment horizontal="center" vertical="center"/>
    </xf>
    <xf numFmtId="49" fontId="2" fillId="4" borderId="1" xfId="0" applyNumberFormat="1" applyFont="1" applyFill="1" applyBorder="1" applyAlignment="1">
      <alignment horizontal="left" vertical="center"/>
    </xf>
    <xf numFmtId="49" fontId="0" fillId="3" borderId="1" xfId="0" applyNumberFormat="1" applyFill="1" applyBorder="1" applyAlignment="1">
      <alignment horizontal="center"/>
    </xf>
    <xf numFmtId="49" fontId="3" fillId="3" borderId="1" xfId="0" applyNumberFormat="1" applyFont="1" applyFill="1" applyBorder="1" applyAlignment="1">
      <alignment horizontal="center" vertical="center"/>
    </xf>
    <xf numFmtId="0" fontId="35" fillId="3" borderId="0" xfId="0" applyFont="1" applyFill="1"/>
    <xf numFmtId="49" fontId="10" fillId="3" borderId="1"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35" fillId="3" borderId="0" xfId="0" applyFont="1" applyFill="1" applyAlignment="1">
      <alignment vertical="center"/>
    </xf>
    <xf numFmtId="49" fontId="5" fillId="3" borderId="1" xfId="0" applyNumberFormat="1" applyFont="1" applyFill="1" applyBorder="1" applyAlignment="1">
      <alignment horizontal="center" wrapText="1"/>
    </xf>
    <xf numFmtId="0" fontId="0" fillId="3" borderId="21" xfId="0" applyFill="1" applyBorder="1" applyAlignment="1">
      <alignment horizontal="center" wrapText="1"/>
    </xf>
    <xf numFmtId="0" fontId="4" fillId="0" borderId="0" xfId="0" applyFont="1" applyAlignment="1">
      <alignment vertical="center"/>
    </xf>
    <xf numFmtId="164" fontId="10" fillId="3" borderId="0" xfId="0" applyNumberFormat="1" applyFont="1" applyFill="1" applyAlignment="1">
      <alignment horizontal="left" wrapText="1"/>
    </xf>
    <xf numFmtId="0" fontId="11" fillId="7" borderId="0" xfId="0" applyFont="1" applyFill="1" applyAlignment="1">
      <alignment horizontal="center"/>
    </xf>
    <xf numFmtId="0" fontId="0" fillId="7" borderId="0" xfId="0" applyFill="1" applyAlignment="1">
      <alignment horizontal="center"/>
    </xf>
    <xf numFmtId="0" fontId="0" fillId="0" borderId="0" xfId="0" applyAlignment="1"/>
    <xf numFmtId="0" fontId="12" fillId="7" borderId="0" xfId="0" applyFont="1" applyFill="1" applyAlignment="1">
      <alignment horizontal="center" vertical="center"/>
    </xf>
    <xf numFmtId="0" fontId="13" fillId="7" borderId="0" xfId="0" applyFont="1" applyFill="1" applyAlignment="1">
      <alignment horizontal="center"/>
    </xf>
    <xf numFmtId="0" fontId="1" fillId="2" borderId="3" xfId="0" applyFont="1"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0" fontId="1" fillId="3" borderId="1" xfId="0" applyFont="1" applyFill="1" applyBorder="1" applyAlignment="1">
      <alignment horizontal="left"/>
    </xf>
    <xf numFmtId="0" fontId="0" fillId="3" borderId="1" xfId="0" applyFill="1" applyBorder="1" applyAlignment="1">
      <alignment horizontal="left"/>
    </xf>
    <xf numFmtId="0" fontId="19" fillId="4" borderId="3" xfId="0" applyFont="1" applyFill="1" applyBorder="1" applyAlignment="1">
      <alignment horizontal="center" vertical="center" wrapText="1"/>
    </xf>
    <xf numFmtId="0" fontId="0" fillId="0" borderId="4" xfId="0" applyBorder="1" applyAlignment="1">
      <alignment horizontal="center" vertical="center" wrapText="1"/>
    </xf>
    <xf numFmtId="0" fontId="19" fillId="6" borderId="3"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3" borderId="0" xfId="0" applyFill="1" applyAlignment="1">
      <alignment vertical="top" wrapText="1"/>
    </xf>
    <xf numFmtId="0" fontId="0" fillId="0" borderId="0" xfId="0" applyAlignment="1">
      <alignment vertical="top"/>
    </xf>
    <xf numFmtId="0" fontId="4" fillId="3" borderId="0" xfId="0" applyFont="1" applyFill="1" applyAlignment="1">
      <alignment vertical="top" wrapText="1"/>
    </xf>
    <xf numFmtId="0" fontId="0" fillId="0" borderId="0" xfId="0" applyAlignment="1">
      <alignment vertical="top" wrapText="1"/>
    </xf>
    <xf numFmtId="1" fontId="0" fillId="3" borderId="1" xfId="0" applyNumberFormat="1" applyFill="1" applyBorder="1" applyAlignment="1">
      <alignment horizontal="center"/>
    </xf>
    <xf numFmtId="1" fontId="0" fillId="0" borderId="1" xfId="0" applyNumberFormat="1" applyBorder="1" applyAlignment="1">
      <alignment horizontal="center"/>
    </xf>
    <xf numFmtId="0" fontId="0" fillId="2" borderId="1" xfId="0"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0" fontId="1" fillId="6" borderId="3" xfId="0" applyFont="1" applyFill="1" applyBorder="1" applyAlignment="1">
      <alignment horizontal="center"/>
    </xf>
    <xf numFmtId="0" fontId="0" fillId="6" borderId="6" xfId="0" applyFill="1" applyBorder="1" applyAlignment="1">
      <alignment horizontal="center"/>
    </xf>
    <xf numFmtId="0" fontId="0" fillId="6" borderId="4" xfId="0" applyFill="1" applyBorder="1" applyAlignment="1">
      <alignment horizontal="center"/>
    </xf>
    <xf numFmtId="0" fontId="0" fillId="0" borderId="1" xfId="0" applyBorder="1" applyAlignment="1" applyProtection="1">
      <alignment horizontal="center"/>
      <protection locked="0"/>
    </xf>
    <xf numFmtId="0" fontId="0" fillId="6" borderId="1" xfId="0" applyFill="1" applyBorder="1" applyAlignment="1" applyProtection="1">
      <alignment horizontal="center"/>
      <protection locked="0"/>
    </xf>
    <xf numFmtId="0" fontId="1" fillId="5" borderId="3" xfId="0" applyFont="1" applyFill="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1" fillId="3" borderId="10" xfId="0" applyFont="1" applyFill="1" applyBorder="1" applyAlignment="1"/>
    <xf numFmtId="0" fontId="0" fillId="3" borderId="7" xfId="0" applyFill="1" applyBorder="1" applyAlignment="1"/>
    <xf numFmtId="0" fontId="0" fillId="3" borderId="9" xfId="0" applyFill="1" applyBorder="1" applyAlignment="1"/>
    <xf numFmtId="0" fontId="1" fillId="3" borderId="3" xfId="0" applyFont="1" applyFill="1" applyBorder="1" applyAlignment="1"/>
    <xf numFmtId="0" fontId="0" fillId="3" borderId="6" xfId="0" applyFill="1" applyBorder="1" applyAlignment="1"/>
    <xf numFmtId="0" fontId="0" fillId="3" borderId="4" xfId="0" applyFill="1" applyBorder="1" applyAlignment="1"/>
    <xf numFmtId="0" fontId="0" fillId="0" borderId="0" xfId="0" applyAlignment="1">
      <alignment horizontal="center"/>
    </xf>
    <xf numFmtId="0" fontId="12" fillId="7" borderId="0" xfId="0" applyFont="1" applyFill="1" applyAlignment="1">
      <alignment horizont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22" xfId="0" applyFill="1" applyBorder="1" applyAlignment="1">
      <alignment horizontal="center" vertical="center"/>
    </xf>
    <xf numFmtId="0" fontId="0" fillId="3" borderId="3" xfId="0"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1" xfId="0" applyFill="1" applyBorder="1" applyAlignment="1">
      <alignment horizontal="center"/>
    </xf>
    <xf numFmtId="0" fontId="0" fillId="0" borderId="1" xfId="0" applyBorder="1" applyAlignment="1">
      <alignment horizontal="center"/>
    </xf>
    <xf numFmtId="0" fontId="0" fillId="3" borderId="4" xfId="0"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4" fillId="3" borderId="1" xfId="0" applyFont="1" applyFill="1" applyBorder="1" applyAlignment="1">
      <alignment vertical="center"/>
    </xf>
    <xf numFmtId="0" fontId="0" fillId="0" borderId="1" xfId="0" applyBorder="1" applyAlignment="1">
      <alignment vertical="center"/>
    </xf>
    <xf numFmtId="0" fontId="4" fillId="4" borderId="1" xfId="0" applyFont="1" applyFill="1" applyBorder="1" applyAlignment="1">
      <alignment vertical="center"/>
    </xf>
    <xf numFmtId="0" fontId="0" fillId="4" borderId="1" xfId="0" applyFill="1" applyBorder="1" applyAlignment="1">
      <alignment vertical="center"/>
    </xf>
    <xf numFmtId="0" fontId="0" fillId="4" borderId="3" xfId="0" applyFill="1" applyBorder="1" applyAlignment="1">
      <alignment horizontal="center"/>
    </xf>
    <xf numFmtId="0" fontId="0" fillId="4" borderId="4" xfId="0" applyFill="1" applyBorder="1" applyAlignment="1">
      <alignment horizontal="center"/>
    </xf>
    <xf numFmtId="0" fontId="0" fillId="3" borderId="1" xfId="0" applyFill="1" applyBorder="1" applyAlignment="1">
      <alignment vertical="center" wrapText="1"/>
    </xf>
    <xf numFmtId="0" fontId="0" fillId="0" borderId="1" xfId="0" applyBorder="1" applyAlignment="1">
      <alignment vertical="center" wrapText="1"/>
    </xf>
    <xf numFmtId="0" fontId="6" fillId="4" borderId="1" xfId="0" applyFont="1" applyFill="1" applyBorder="1" applyAlignment="1">
      <alignment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6" fillId="4" borderId="1" xfId="0" applyFont="1" applyFill="1" applyBorder="1" applyAlignment="1">
      <alignment horizontal="left" vertical="center"/>
    </xf>
    <xf numFmtId="0" fontId="1" fillId="4" borderId="1" xfId="0" applyFont="1" applyFill="1" applyBorder="1" applyAlignment="1">
      <alignment horizontal="left" vertical="center"/>
    </xf>
    <xf numFmtId="0" fontId="4" fillId="3" borderId="1" xfId="0" applyFont="1" applyFill="1" applyBorder="1" applyAlignment="1">
      <alignment vertical="center" wrapText="1"/>
    </xf>
    <xf numFmtId="0" fontId="2" fillId="3" borderId="0" xfId="0" applyFont="1" applyFill="1" applyAlignment="1">
      <alignment vertical="top" wrapText="1"/>
    </xf>
    <xf numFmtId="0" fontId="0" fillId="0" borderId="0" xfId="0" applyAlignment="1">
      <alignment wrapText="1"/>
    </xf>
    <xf numFmtId="0" fontId="3" fillId="0" borderId="0" xfId="0" applyFont="1" applyAlignment="1">
      <alignment vertical="top" wrapText="1"/>
    </xf>
    <xf numFmtId="0" fontId="0" fillId="3" borderId="11" xfId="0" applyFill="1" applyBorder="1" applyAlignment="1">
      <alignment wrapText="1"/>
    </xf>
    <xf numFmtId="0" fontId="1" fillId="4" borderId="1" xfId="0" applyFont="1" applyFill="1" applyBorder="1" applyAlignment="1"/>
    <xf numFmtId="0" fontId="0" fillId="0" borderId="1" xfId="0" applyBorder="1" applyAlignment="1"/>
    <xf numFmtId="0" fontId="12" fillId="7" borderId="0" xfId="0" applyFont="1" applyFill="1" applyAlignment="1">
      <alignment horizontal="center" vertical="center" wrapText="1"/>
    </xf>
    <xf numFmtId="0" fontId="0" fillId="4" borderId="1" xfId="0" applyFill="1" applyBorder="1" applyAlignment="1"/>
    <xf numFmtId="0" fontId="3" fillId="4" borderId="3" xfId="0" applyFont="1" applyFill="1" applyBorder="1" applyAlignment="1">
      <alignment horizontal="center"/>
    </xf>
    <xf numFmtId="0" fontId="3" fillId="4" borderId="4" xfId="0" applyFont="1" applyFill="1" applyBorder="1" applyAlignment="1">
      <alignment horizontal="center"/>
    </xf>
    <xf numFmtId="0" fontId="0" fillId="3" borderId="1" xfId="0" applyFill="1" applyBorder="1" applyAlignment="1"/>
    <xf numFmtId="0" fontId="0" fillId="3" borderId="1" xfId="0" applyFill="1" applyBorder="1" applyAlignment="1">
      <alignment horizontal="left" vertical="center"/>
    </xf>
    <xf numFmtId="0" fontId="1" fillId="4" borderId="1" xfId="0" applyFont="1" applyFill="1" applyBorder="1" applyAlignment="1">
      <alignment horizontal="center" vertical="center" wrapText="1"/>
    </xf>
    <xf numFmtId="1" fontId="0" fillId="2" borderId="1" xfId="0" applyNumberFormat="1" applyFill="1" applyBorder="1" applyAlignment="1" applyProtection="1">
      <alignment horizontal="center" vertical="center"/>
      <protection locked="0"/>
    </xf>
    <xf numFmtId="0" fontId="0" fillId="2" borderId="1" xfId="0" applyFill="1" applyBorder="1" applyAlignment="1" applyProtection="1">
      <protection locked="0"/>
    </xf>
    <xf numFmtId="0" fontId="0" fillId="2" borderId="1" xfId="0" applyFill="1" applyBorder="1" applyAlignment="1" applyProtection="1">
      <alignment horizontal="center" vertical="center"/>
      <protection locked="0"/>
    </xf>
    <xf numFmtId="0" fontId="0" fillId="3" borderId="1" xfId="0" applyFill="1" applyBorder="1" applyAlignment="1">
      <alignment horizontal="left" vertical="center" wrapText="1"/>
    </xf>
    <xf numFmtId="0" fontId="0" fillId="0" borderId="1" xfId="0" applyBorder="1" applyAlignment="1">
      <alignment wrapText="1"/>
    </xf>
    <xf numFmtId="0" fontId="0" fillId="3" borderId="0" xfId="0" applyFill="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xf>
    <xf numFmtId="0" fontId="4" fillId="4" borderId="3" xfId="0" applyFont="1" applyFill="1" applyBorder="1" applyAlignment="1">
      <alignment horizontal="center" vertical="center"/>
    </xf>
    <xf numFmtId="0" fontId="0" fillId="4" borderId="6" xfId="0" applyFill="1" applyBorder="1" applyAlignment="1">
      <alignment horizontal="center"/>
    </xf>
    <xf numFmtId="0" fontId="4" fillId="3" borderId="0" xfId="0" applyFont="1" applyFill="1" applyAlignment="1">
      <alignment vertical="center" wrapText="1"/>
    </xf>
    <xf numFmtId="0" fontId="1" fillId="3" borderId="0" xfId="0" applyFont="1" applyFill="1" applyAlignment="1">
      <alignment vertical="center" wrapText="1"/>
    </xf>
    <xf numFmtId="0" fontId="0" fillId="3" borderId="1" xfId="0"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left"/>
    </xf>
    <xf numFmtId="0" fontId="0" fillId="3" borderId="1" xfId="0" applyFill="1" applyBorder="1" applyAlignment="1">
      <alignment horizontal="center" wrapText="1"/>
    </xf>
    <xf numFmtId="0" fontId="0" fillId="3" borderId="1" xfId="0" applyFill="1" applyBorder="1" applyAlignment="1">
      <alignment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9" xfId="0" applyFill="1" applyBorder="1" applyAlignment="1">
      <alignment horizontal="center" vertical="center"/>
    </xf>
    <xf numFmtId="0" fontId="0" fillId="3" borderId="3" xfId="0" applyFill="1" applyBorder="1" applyAlignment="1">
      <alignment horizontal="center" vertical="center" wrapText="1"/>
    </xf>
    <xf numFmtId="0" fontId="0" fillId="0" borderId="4" xfId="0"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vertical="center"/>
    </xf>
    <xf numFmtId="0" fontId="0" fillId="4" borderId="6" xfId="0" applyFill="1" applyBorder="1" applyAlignment="1">
      <alignment vertical="center"/>
    </xf>
    <xf numFmtId="0" fontId="0" fillId="0" borderId="4" xfId="0" applyBorder="1" applyAlignment="1"/>
    <xf numFmtId="0" fontId="6" fillId="4" borderId="3" xfId="0" applyFont="1" applyFill="1" applyBorder="1" applyAlignment="1">
      <alignment vertical="center"/>
    </xf>
    <xf numFmtId="0" fontId="0" fillId="0" borderId="6" xfId="0" applyBorder="1" applyAlignment="1"/>
    <xf numFmtId="0" fontId="4" fillId="3" borderId="3" xfId="0" applyFont="1" applyFill="1" applyBorder="1" applyAlignment="1">
      <alignment vertical="center"/>
    </xf>
    <xf numFmtId="0" fontId="0" fillId="0" borderId="6" xfId="0" applyBorder="1" applyAlignment="1">
      <alignment vertical="center"/>
    </xf>
    <xf numFmtId="0" fontId="1" fillId="4" borderId="6" xfId="0" applyFont="1" applyFill="1" applyBorder="1" applyAlignment="1"/>
    <xf numFmtId="0" fontId="29" fillId="7" borderId="0" xfId="0" applyFont="1" applyFill="1" applyAlignment="1">
      <alignment horizontal="center" vertical="center"/>
    </xf>
    <xf numFmtId="1" fontId="3" fillId="3" borderId="1" xfId="0" applyNumberFormat="1" applyFont="1" applyFill="1" applyBorder="1" applyAlignment="1">
      <alignment horizontal="center" vertical="center"/>
    </xf>
    <xf numFmtId="1" fontId="3" fillId="0" borderId="1" xfId="0" applyNumberFormat="1" applyFont="1" applyBorder="1" applyAlignment="1"/>
    <xf numFmtId="0" fontId="0" fillId="3" borderId="0" xfId="0" applyFill="1" applyAlignment="1">
      <alignment wrapText="1"/>
    </xf>
    <xf numFmtId="0" fontId="0" fillId="5" borderId="3" xfId="0" applyFill="1" applyBorder="1" applyAlignment="1">
      <alignment horizontal="center"/>
    </xf>
    <xf numFmtId="0" fontId="0" fillId="2" borderId="3" xfId="0" applyFill="1" applyBorder="1" applyAlignment="1">
      <alignment horizontal="center"/>
    </xf>
    <xf numFmtId="0" fontId="0" fillId="0" borderId="4" xfId="0" applyBorder="1" applyAlignment="1">
      <alignment vertical="center"/>
    </xf>
    <xf numFmtId="0" fontId="1" fillId="4" borderId="3" xfId="0"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0" borderId="1" xfId="0" applyFont="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xf numFmtId="0" fontId="0" fillId="0" borderId="6" xfId="0" applyBorder="1" applyAlignment="1">
      <alignment vertical="center" wrapText="1"/>
    </xf>
    <xf numFmtId="0" fontId="0" fillId="4" borderId="6" xfId="0" applyFill="1" applyBorder="1" applyAlignment="1"/>
    <xf numFmtId="0" fontId="0" fillId="4" borderId="4" xfId="0" applyFill="1" applyBorder="1" applyAlignment="1"/>
    <xf numFmtId="164" fontId="3" fillId="3" borderId="1" xfId="0" applyNumberFormat="1" applyFont="1" applyFill="1" applyBorder="1" applyAlignment="1">
      <alignment horizontal="center" vertical="center"/>
    </xf>
    <xf numFmtId="0" fontId="4" fillId="0" borderId="1" xfId="0" applyFont="1" applyBorder="1" applyAlignment="1">
      <alignment vertical="center"/>
    </xf>
    <xf numFmtId="164" fontId="0" fillId="3" borderId="1" xfId="0" applyNumberFormat="1" applyFill="1" applyBorder="1" applyAlignment="1">
      <alignment horizontal="center" vertical="center"/>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4" borderId="1" xfId="0" applyFill="1" applyBorder="1" applyAlignment="1">
      <alignment vertical="center" wrapText="1"/>
    </xf>
    <xf numFmtId="3" fontId="3" fillId="4" borderId="1" xfId="0" quotePrefix="1" applyNumberFormat="1" applyFont="1" applyFill="1" applyBorder="1" applyAlignment="1">
      <alignment horizontal="center" vertical="center" wrapText="1"/>
    </xf>
    <xf numFmtId="0" fontId="0" fillId="0" borderId="1" xfId="0" applyBorder="1" applyAlignment="1">
      <alignment horizontal="center" vertical="center" wrapText="1"/>
    </xf>
    <xf numFmtId="3" fontId="3" fillId="4" borderId="1" xfId="0" quotePrefix="1" applyNumberFormat="1" applyFont="1" applyFill="1" applyBorder="1" applyAlignment="1">
      <alignment horizontal="center" vertical="center"/>
    </xf>
    <xf numFmtId="0" fontId="0" fillId="0" borderId="1" xfId="0" applyBorder="1" applyAlignment="1">
      <alignment horizontal="center" vertical="center"/>
    </xf>
    <xf numFmtId="3" fontId="3" fillId="4" borderId="1" xfId="0" applyNumberFormat="1" applyFont="1" applyFill="1" applyBorder="1" applyAlignment="1">
      <alignment horizontal="center" vertical="center"/>
    </xf>
    <xf numFmtId="0" fontId="3" fillId="4" borderId="1" xfId="0" applyFont="1" applyFill="1" applyBorder="1" applyAlignment="1">
      <alignment vertical="center" wrapText="1"/>
    </xf>
    <xf numFmtId="0" fontId="0" fillId="0" borderId="1" xfId="0" applyBorder="1" applyAlignment="1">
      <alignment horizontal="left" vertical="center" wrapText="1"/>
    </xf>
    <xf numFmtId="49" fontId="3" fillId="4" borderId="1" xfId="0" applyNumberFormat="1" applyFont="1" applyFill="1" applyBorder="1" applyAlignment="1">
      <alignment horizontal="center" vertical="center"/>
    </xf>
    <xf numFmtId="49" fontId="0" fillId="0" borderId="1" xfId="0" applyNumberFormat="1" applyBorder="1" applyAlignment="1">
      <alignment horizontal="center" vertical="center"/>
    </xf>
    <xf numFmtId="0" fontId="0" fillId="4" borderId="1" xfId="0" applyFill="1" applyBorder="1" applyAlignment="1">
      <alignment horizontal="center" vertical="center"/>
    </xf>
    <xf numFmtId="0" fontId="3" fillId="4" borderId="3" xfId="0" applyFont="1" applyFill="1" applyBorder="1" applyAlignment="1">
      <alignment vertical="center" wrapText="1"/>
    </xf>
    <xf numFmtId="0" fontId="3" fillId="4" borderId="6" xfId="0" applyFont="1" applyFill="1" applyBorder="1" applyAlignment="1">
      <alignment vertical="center" wrapText="1"/>
    </xf>
    <xf numFmtId="0" fontId="3" fillId="4" borderId="4" xfId="0" applyFont="1" applyFill="1" applyBorder="1" applyAlignment="1">
      <alignment vertical="center" wrapText="1"/>
    </xf>
    <xf numFmtId="3" fontId="3" fillId="4" borderId="3" xfId="0" applyNumberFormat="1" applyFont="1" applyFill="1" applyBorder="1" applyAlignment="1">
      <alignment horizontal="center" vertical="center"/>
    </xf>
    <xf numFmtId="3" fontId="3" fillId="4" borderId="4" xfId="0" applyNumberFormat="1" applyFont="1" applyFill="1" applyBorder="1" applyAlignment="1">
      <alignment horizontal="center" vertical="center"/>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24" fillId="8" borderId="1" xfId="0" quotePrefix="1" applyFont="1" applyFill="1" applyBorder="1" applyAlignment="1">
      <alignment horizontal="center" vertical="center"/>
    </xf>
    <xf numFmtId="0" fontId="24" fillId="8" borderId="1" xfId="0" applyFont="1" applyFill="1" applyBorder="1" applyAlignment="1">
      <alignment horizontal="center" vertical="center"/>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0" fillId="0" borderId="1" xfId="0" applyBorder="1" applyAlignment="1">
      <alignment horizontal="left" vertical="center"/>
    </xf>
    <xf numFmtId="0" fontId="3" fillId="0" borderId="1" xfId="0" applyFont="1" applyBorder="1" applyAlignment="1">
      <alignment horizontal="center" vertical="center"/>
    </xf>
    <xf numFmtId="0" fontId="3" fillId="3" borderId="3"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4" xfId="0" applyFont="1" applyFill="1" applyBorder="1" applyAlignment="1">
      <alignment horizontal="left" vertical="top" wrapText="1"/>
    </xf>
    <xf numFmtId="0" fontId="0" fillId="8" borderId="1" xfId="0" applyFill="1" applyBorder="1" applyAlignment="1">
      <alignment vertical="center"/>
    </xf>
    <xf numFmtId="0" fontId="0" fillId="8" borderId="1" xfId="0" applyFill="1" applyBorder="1" applyAlignment="1">
      <alignment horizontal="center" vertical="center"/>
    </xf>
    <xf numFmtId="0" fontId="0" fillId="8" borderId="1" xfId="0" applyFill="1" applyBorder="1" applyAlignment="1">
      <alignment horizontal="left" vertical="center"/>
    </xf>
    <xf numFmtId="0" fontId="3" fillId="3" borderId="1" xfId="0" applyFont="1" applyFill="1" applyBorder="1" applyAlignment="1">
      <alignment vertical="center"/>
    </xf>
    <xf numFmtId="0" fontId="25" fillId="4" borderId="3" xfId="0" applyFont="1" applyFill="1" applyBorder="1" applyAlignment="1">
      <alignment horizontal="center" vertical="center"/>
    </xf>
    <xf numFmtId="0" fontId="0" fillId="0" borderId="6" xfId="0" applyBorder="1" applyAlignment="1">
      <alignment horizontal="center" vertical="center"/>
    </xf>
    <xf numFmtId="0" fontId="23" fillId="8" borderId="3" xfId="0" applyFont="1" applyFill="1" applyBorder="1" applyAlignment="1">
      <alignment vertical="center"/>
    </xf>
    <xf numFmtId="0" fontId="23" fillId="8" borderId="2" xfId="0" quotePrefix="1" applyFont="1" applyFill="1" applyBorder="1" applyAlignment="1">
      <alignment horizontal="center" vertical="center"/>
    </xf>
    <xf numFmtId="0" fontId="23" fillId="8" borderId="2"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6" fillId="8" borderId="1" xfId="0" applyFont="1" applyFill="1" applyBorder="1" applyAlignment="1">
      <alignment horizontal="center" vertical="center"/>
    </xf>
    <xf numFmtId="0" fontId="23" fillId="8" borderId="1" xfId="0" quotePrefix="1" applyFont="1" applyFill="1" applyBorder="1" applyAlignment="1">
      <alignment horizontal="center" vertical="center"/>
    </xf>
    <xf numFmtId="0" fontId="23" fillId="8" borderId="3" xfId="0" applyFont="1" applyFill="1" applyBorder="1" applyAlignment="1">
      <alignment horizontal="center" vertical="center"/>
    </xf>
    <xf numFmtId="0" fontId="23" fillId="8" borderId="4" xfId="0" applyFont="1" applyFill="1" applyBorder="1" applyAlignment="1">
      <alignment horizontal="center" vertical="center"/>
    </xf>
    <xf numFmtId="0" fontId="23" fillId="8" borderId="3" xfId="0" applyFont="1" applyFill="1" applyBorder="1" applyAlignment="1">
      <alignment horizontal="left" vertical="center"/>
    </xf>
    <xf numFmtId="0" fontId="23" fillId="8" borderId="6" xfId="0" applyFont="1" applyFill="1" applyBorder="1" applyAlignment="1">
      <alignment horizontal="left" vertical="center"/>
    </xf>
    <xf numFmtId="0" fontId="23" fillId="8" borderId="4" xfId="0" applyFont="1" applyFill="1" applyBorder="1" applyAlignment="1">
      <alignment horizontal="left" vertical="center"/>
    </xf>
    <xf numFmtId="0" fontId="7" fillId="3" borderId="1" xfId="0" applyFont="1" applyFill="1" applyBorder="1" applyAlignment="1">
      <alignment vertical="center" wrapText="1"/>
    </xf>
    <xf numFmtId="0" fontId="23" fillId="8" borderId="6" xfId="0" applyFont="1" applyFill="1" applyBorder="1" applyAlignment="1">
      <alignment horizontal="center" vertical="center"/>
    </xf>
    <xf numFmtId="0" fontId="24" fillId="8" borderId="3" xfId="0" quotePrefix="1" applyFont="1" applyFill="1" applyBorder="1" applyAlignment="1">
      <alignment horizontal="center" vertical="center"/>
    </xf>
    <xf numFmtId="0" fontId="24" fillId="8" borderId="6" xfId="0" quotePrefix="1" applyFont="1" applyFill="1" applyBorder="1" applyAlignment="1">
      <alignment horizontal="center" vertical="center"/>
    </xf>
    <xf numFmtId="0" fontId="24" fillId="8" borderId="4" xfId="0" quotePrefix="1" applyFont="1" applyFill="1" applyBorder="1" applyAlignment="1">
      <alignment horizontal="center" vertical="center"/>
    </xf>
    <xf numFmtId="0" fontId="1" fillId="8" borderId="3"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3"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4" xfId="0" applyFont="1" applyFill="1" applyBorder="1" applyAlignment="1">
      <alignment horizontal="center" vertical="center"/>
    </xf>
    <xf numFmtId="0" fontId="3" fillId="4" borderId="3" xfId="0" applyFont="1" applyFill="1" applyBorder="1" applyAlignment="1">
      <alignment vertical="center"/>
    </xf>
    <xf numFmtId="0" fontId="1" fillId="0" borderId="2" xfId="0" applyFont="1" applyBorder="1" applyAlignment="1">
      <alignment horizontal="center" vertical="center" wrapText="1"/>
    </xf>
    <xf numFmtId="0" fontId="0" fillId="0" borderId="5" xfId="0" applyBorder="1" applyAlignment="1">
      <alignment vertical="center" wrapText="1"/>
    </xf>
    <xf numFmtId="3" fontId="2" fillId="4"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3" borderId="12" xfId="0" applyFont="1" applyFill="1" applyBorder="1" applyAlignment="1">
      <alignment horizontal="left" vertical="center"/>
    </xf>
    <xf numFmtId="0" fontId="0" fillId="0" borderId="31" xfId="0" applyBorder="1" applyAlignment="1">
      <alignment horizontal="left" vertical="center"/>
    </xf>
    <xf numFmtId="0" fontId="0" fillId="0" borderId="11" xfId="0" applyBorder="1" applyAlignment="1">
      <alignment horizontal="left" vertical="center"/>
    </xf>
    <xf numFmtId="0" fontId="0" fillId="0" borderId="30" xfId="0" applyBorder="1" applyAlignment="1">
      <alignment horizontal="left"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4" borderId="1" xfId="0" applyFill="1" applyBorder="1" applyAlignment="1">
      <alignment horizontal="center" vertical="center" wrapText="1"/>
    </xf>
    <xf numFmtId="3"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cellXfs>
  <cellStyles count="1">
    <cellStyle name="Normal" xfId="0" builtinId="0"/>
  </cellStyles>
  <dxfs count="32">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7" tint="0.79998168889431442"/>
      </font>
    </dxf>
    <dxf>
      <fill>
        <patternFill>
          <bgColor theme="7" tint="0.79998168889431442"/>
        </patternFill>
      </fill>
    </dxf>
    <dxf>
      <font>
        <color theme="7" tint="0.79998168889431442"/>
      </font>
      <fill>
        <patternFill>
          <bgColor theme="7" tint="0.79998168889431442"/>
        </patternFill>
      </fill>
    </dxf>
    <dxf>
      <font>
        <color theme="7" tint="0.79998168889431442"/>
      </font>
    </dxf>
    <dxf>
      <fill>
        <patternFill>
          <bgColor theme="7" tint="0.79998168889431442"/>
        </patternFill>
      </fill>
    </dxf>
    <dxf>
      <font>
        <color theme="7" tint="0.79998168889431442"/>
      </font>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7" tint="0.7999816888943144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AA0A4"/>
      <color rgb="FFD131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1.emf"/><Relationship Id="rId1" Type="http://schemas.openxmlformats.org/officeDocument/2006/relationships/image" Target="../media/image12.emf"/><Relationship Id="rId4"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621030</xdr:colOff>
      <xdr:row>18</xdr:row>
      <xdr:rowOff>171450</xdr:rowOff>
    </xdr:from>
    <xdr:to>
      <xdr:col>2</xdr:col>
      <xdr:colOff>628650</xdr:colOff>
      <xdr:row>20</xdr:row>
      <xdr:rowOff>80010</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880" y="5194300"/>
          <a:ext cx="623570" cy="359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11431</xdr:colOff>
      <xdr:row>26</xdr:row>
      <xdr:rowOff>21590</xdr:rowOff>
    </xdr:from>
    <xdr:to>
      <xdr:col>3</xdr:col>
      <xdr:colOff>53976</xdr:colOff>
      <xdr:row>28</xdr:row>
      <xdr:rowOff>0</xdr:rowOff>
    </xdr:to>
    <xdr:pic>
      <xdr:nvPicPr>
        <xdr:cNvPr id="7" name="Picture 6" descr="In Vitro Diagnostic">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7881" y="6212840"/>
          <a:ext cx="655320" cy="346710"/>
        </a:xfrm>
        <a:prstGeom prst="rect">
          <a:avLst/>
        </a:prstGeom>
        <a:noFill/>
        <a:ln>
          <a:noFill/>
        </a:ln>
      </xdr:spPr>
    </xdr:pic>
    <xdr:clientData/>
  </xdr:twoCellAnchor>
  <xdr:twoCellAnchor editAs="oneCell">
    <xdr:from>
      <xdr:col>2</xdr:col>
      <xdr:colOff>0</xdr:colOff>
      <xdr:row>28</xdr:row>
      <xdr:rowOff>0</xdr:rowOff>
    </xdr:from>
    <xdr:to>
      <xdr:col>3</xdr:col>
      <xdr:colOff>283210</xdr:colOff>
      <xdr:row>31</xdr:row>
      <xdr:rowOff>19685</xdr:rowOff>
    </xdr:to>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1525" y="6629400"/>
          <a:ext cx="873760" cy="591185"/>
        </a:xfrm>
        <a:prstGeom prst="rect">
          <a:avLst/>
        </a:prstGeom>
        <a:noFill/>
        <a:ln>
          <a:noFill/>
        </a:ln>
      </xdr:spPr>
    </xdr:pic>
    <xdr:clientData/>
  </xdr:twoCellAnchor>
  <xdr:twoCellAnchor>
    <xdr:from>
      <xdr:col>2</xdr:col>
      <xdr:colOff>37996</xdr:colOff>
      <xdr:row>32</xdr:row>
      <xdr:rowOff>35560</xdr:rowOff>
    </xdr:from>
    <xdr:to>
      <xdr:col>2</xdr:col>
      <xdr:colOff>576580</xdr:colOff>
      <xdr:row>34</xdr:row>
      <xdr:rowOff>68579</xdr:rowOff>
    </xdr:to>
    <xdr:pic>
      <xdr:nvPicPr>
        <xdr:cNvPr id="12" name="Picture 19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9521" y="7503160"/>
          <a:ext cx="538584" cy="414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10160</xdr:colOff>
      <xdr:row>32</xdr:row>
      <xdr:rowOff>129540</xdr:rowOff>
    </xdr:from>
    <xdr:to>
      <xdr:col>9</xdr:col>
      <xdr:colOff>243840</xdr:colOff>
      <xdr:row>34</xdr:row>
      <xdr:rowOff>130175</xdr:rowOff>
    </xdr:to>
    <xdr:pic>
      <xdr:nvPicPr>
        <xdr:cNvPr id="16" name="Picture 15" descr="European Authorized Representative Service - TSQuality.ch">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60240" y="7094220"/>
          <a:ext cx="850900" cy="356870"/>
        </a:xfrm>
        <a:prstGeom prst="rect">
          <a:avLst/>
        </a:prstGeom>
        <a:noFill/>
        <a:ln>
          <a:noFill/>
        </a:ln>
      </xdr:spPr>
    </xdr:pic>
    <xdr:clientData/>
  </xdr:twoCellAnchor>
  <xdr:twoCellAnchor editAs="oneCell">
    <xdr:from>
      <xdr:col>1</xdr:col>
      <xdr:colOff>426720</xdr:colOff>
      <xdr:row>4</xdr:row>
      <xdr:rowOff>175260</xdr:rowOff>
    </xdr:from>
    <xdr:to>
      <xdr:col>8</xdr:col>
      <xdr:colOff>358775</xdr:colOff>
      <xdr:row>10</xdr:row>
      <xdr:rowOff>1270</xdr:rowOff>
    </xdr:to>
    <xdr:pic>
      <xdr:nvPicPr>
        <xdr:cNvPr id="8" name="Picture 7">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511" r="11277"/>
        <a:stretch/>
      </xdr:blipFill>
      <xdr:spPr bwMode="auto">
        <a:xfrm>
          <a:off x="609600" y="906780"/>
          <a:ext cx="4187190" cy="91821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15240</xdr:colOff>
      <xdr:row>31</xdr:row>
      <xdr:rowOff>144780</xdr:rowOff>
    </xdr:from>
    <xdr:to>
      <xdr:col>5</xdr:col>
      <xdr:colOff>573405</xdr:colOff>
      <xdr:row>34</xdr:row>
      <xdr:rowOff>93345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609850" y="7153275"/>
          <a:ext cx="558165"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15</xdr:row>
          <xdr:rowOff>129540</xdr:rowOff>
        </xdr:from>
        <xdr:to>
          <xdr:col>3</xdr:col>
          <xdr:colOff>350520</xdr:colOff>
          <xdr:row>17</xdr:row>
          <xdr:rowOff>38100</xdr:rowOff>
        </xdr:to>
        <xdr:sp macro="" textlink="">
          <xdr:nvSpPr>
            <xdr:cNvPr id="3075" name="ComboBox1"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15</xdr:row>
          <xdr:rowOff>129540</xdr:rowOff>
        </xdr:from>
        <xdr:to>
          <xdr:col>6</xdr:col>
          <xdr:colOff>411480</xdr:colOff>
          <xdr:row>17</xdr:row>
          <xdr:rowOff>7620</xdr:rowOff>
        </xdr:to>
        <xdr:sp macro="" textlink="">
          <xdr:nvSpPr>
            <xdr:cNvPr id="3076" name="ComboBox2"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6</xdr:row>
          <xdr:rowOff>91440</xdr:rowOff>
        </xdr:from>
        <xdr:to>
          <xdr:col>16</xdr:col>
          <xdr:colOff>373380</xdr:colOff>
          <xdr:row>10</xdr:row>
          <xdr:rowOff>175260</xdr:rowOff>
        </xdr:to>
        <xdr:sp macro="" textlink="">
          <xdr:nvSpPr>
            <xdr:cNvPr id="3077" name="CommandButton1"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12</xdr:row>
          <xdr:rowOff>137160</xdr:rowOff>
        </xdr:from>
        <xdr:to>
          <xdr:col>16</xdr:col>
          <xdr:colOff>373380</xdr:colOff>
          <xdr:row>17</xdr:row>
          <xdr:rowOff>22860</xdr:rowOff>
        </xdr:to>
        <xdr:sp macro="" textlink="">
          <xdr:nvSpPr>
            <xdr:cNvPr id="3079" name="CommandButton2"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1085850</xdr:colOff>
      <xdr:row>1</xdr:row>
      <xdr:rowOff>38100</xdr:rowOff>
    </xdr:from>
    <xdr:to>
      <xdr:col>8</xdr:col>
      <xdr:colOff>628649</xdr:colOff>
      <xdr:row>10</xdr:row>
      <xdr:rowOff>133350</xdr:rowOff>
    </xdr:to>
    <xdr:sp macro="" textlink="">
      <xdr:nvSpPr>
        <xdr:cNvPr id="3" name="Rectangle: Rounded Corners 2">
          <a:extLst>
            <a:ext uri="{FF2B5EF4-FFF2-40B4-BE49-F238E27FC236}">
              <a16:creationId xmlns:a16="http://schemas.microsoft.com/office/drawing/2014/main" id="{00000000-0008-0000-0600-000003000000}"/>
            </a:ext>
          </a:extLst>
        </xdr:cNvPr>
        <xdr:cNvSpPr/>
      </xdr:nvSpPr>
      <xdr:spPr>
        <a:xfrm>
          <a:off x="4457700" y="228600"/>
          <a:ext cx="5162549" cy="1809750"/>
        </a:xfrm>
        <a:prstGeom prst="roundRect">
          <a:avLst/>
        </a:prstGeom>
        <a:effectLst>
          <a:outerShdw blurRad="50800" dist="38100" dir="5400000" algn="t"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cs-CZ" sz="1800" b="1">
              <a:effectLst/>
              <a:latin typeface="Calibri" panose="020F0502020204030204" pitchFamily="34" charset="0"/>
              <a:ea typeface="Calibri" panose="020F0502020204030204" pitchFamily="34" charset="0"/>
            </a:rPr>
            <a:t>Kliknutím na tlačítko níže vygenerujete seznam vzorků ve formátu csv.  Po kliknutí na tlačítko se zobrazí výzva k zadání názvu a umístění souboru.</a:t>
          </a:r>
          <a:endParaRPr lang="en-US" sz="1800" b="1" i="0"/>
        </a:p>
      </xdr:txBody>
    </xdr:sp>
    <xdr:clientData/>
  </xdr:twoCellAnchor>
  <xdr:twoCellAnchor>
    <xdr:from>
      <xdr:col>5</xdr:col>
      <xdr:colOff>676275</xdr:colOff>
      <xdr:row>6</xdr:row>
      <xdr:rowOff>171450</xdr:rowOff>
    </xdr:from>
    <xdr:to>
      <xdr:col>6</xdr:col>
      <xdr:colOff>866775</xdr:colOff>
      <xdr:row>9</xdr:row>
      <xdr:rowOff>114300</xdr:rowOff>
    </xdr:to>
    <xdr:sp macro="[0]!Export" textlink="">
      <xdr:nvSpPr>
        <xdr:cNvPr id="6" name="Rectangle: Rounded Corners 5">
          <a:extLst>
            <a:ext uri="{FF2B5EF4-FFF2-40B4-BE49-F238E27FC236}">
              <a16:creationId xmlns:a16="http://schemas.microsoft.com/office/drawing/2014/main" id="{00000000-0008-0000-0600-000006000000}"/>
            </a:ext>
          </a:extLst>
        </xdr:cNvPr>
        <xdr:cNvSpPr/>
      </xdr:nvSpPr>
      <xdr:spPr>
        <a:xfrm>
          <a:off x="6296025" y="1314450"/>
          <a:ext cx="1314450" cy="514350"/>
        </a:xfrm>
        <a:prstGeom prst="roundRect">
          <a:avLst/>
        </a:prstGeom>
        <a:effectLst>
          <a:glow rad="101600">
            <a:srgbClr val="FFFF00">
              <a:alpha val="40000"/>
            </a:srgbClr>
          </a:glo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2400" b="1">
              <a:solidFill>
                <a:schemeClr val="bg1"/>
              </a:solidFill>
            </a:rPr>
            <a:t>Export</a:t>
          </a:r>
          <a:endParaRPr lang="en-US" sz="11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57150</xdr:colOff>
      <xdr:row>25</xdr:row>
      <xdr:rowOff>0</xdr:rowOff>
    </xdr:from>
    <xdr:ext cx="65" cy="172227"/>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6678930" y="43891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57150</xdr:colOff>
      <xdr:row>27</xdr:row>
      <xdr:rowOff>0</xdr:rowOff>
    </xdr:from>
    <xdr:ext cx="65" cy="172227"/>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6678930" y="47548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11</xdr:col>
      <xdr:colOff>57150</xdr:colOff>
      <xdr:row>36</xdr:row>
      <xdr:rowOff>0</xdr:rowOff>
    </xdr:from>
    <xdr:ext cx="65" cy="172227"/>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678930" y="640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57150</xdr:colOff>
      <xdr:row>28</xdr:row>
      <xdr:rowOff>0</xdr:rowOff>
    </xdr:from>
    <xdr:ext cx="65" cy="172227"/>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6678930" y="49377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11</xdr:col>
      <xdr:colOff>57150</xdr:colOff>
      <xdr:row>37</xdr:row>
      <xdr:rowOff>0</xdr:rowOff>
    </xdr:from>
    <xdr:ext cx="65" cy="172227"/>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6678930" y="65836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11</xdr:col>
      <xdr:colOff>57150</xdr:colOff>
      <xdr:row>18</xdr:row>
      <xdr:rowOff>0</xdr:rowOff>
    </xdr:from>
    <xdr:ext cx="65" cy="172227"/>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6678930" y="32918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11</xdr:col>
      <xdr:colOff>57150</xdr:colOff>
      <xdr:row>27</xdr:row>
      <xdr:rowOff>0</xdr:rowOff>
    </xdr:from>
    <xdr:ext cx="65" cy="172227"/>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6678930" y="49377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caredx.sharepoint.com/sites/Changecontrols/Shared%20Documents/DCR/DCR%202023%20-%20180%20AlloSeq%20Tx%20workbook%20update-%20number%20to%20be%20assigned/Workbook%20verification%20versions/Verified%20drafts/IFU083-5_AlloSeq%20Tx%20Early%20Pooling%20Workbook%20RUO_v9_DRAFT_1.0.xlsm?F6083B47" TargetMode="External"/><Relationship Id="rId1" Type="http://schemas.openxmlformats.org/officeDocument/2006/relationships/externalLinkPath" Target="file:///\\F6083B47\IFU083-5_AlloSeq%20Tx%20Early%20Pooling%20Workbook%20RUO_v9_DRAFT_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UO Cover"/>
      <sheetName val="DropDowns"/>
      <sheetName val="IndexLayout"/>
      <sheetName val="0.1 Import"/>
      <sheetName val="1.0 Sample_Prep"/>
      <sheetName val="1.1 LinearView"/>
      <sheetName val="1.2 SampleSheet"/>
      <sheetName val="2.0 Library_Prep"/>
      <sheetName val="3.0 SS_Purification"/>
      <sheetName val="4.0 Hybridisation"/>
      <sheetName val="5.0 Capture"/>
      <sheetName val="6.0 Enrich_PCR"/>
      <sheetName val="7.0 Purification"/>
      <sheetName val="8.0 Qubit"/>
      <sheetName val="9.0 TapeStation(Optional)"/>
      <sheetName val="10.0 PhiX"/>
      <sheetName val="10.1 MiSeq"/>
      <sheetName val="10.2 MiniSeq"/>
      <sheetName val="10.3 iSeq"/>
      <sheetName val="VersionHistory"/>
      <sheetName val="WorkbookVerifica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vmlDrawing" Target="../drawings/vmlDrawing2.vml"/><Relationship Id="rId7" Type="http://schemas.openxmlformats.org/officeDocument/2006/relationships/control" Target="../activeX/activeX2.xml"/><Relationship Id="rId12" Type="http://schemas.openxmlformats.org/officeDocument/2006/relationships/image" Target="../media/image12.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image" Target="../media/image9.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11.emf"/><Relationship Id="rId4" Type="http://schemas.openxmlformats.org/officeDocument/2006/relationships/vmlDrawing" Target="../drawings/vmlDrawing3.vml"/><Relationship Id="rId9"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F50D1-77D4-4194-9ED4-28FC33148171}">
  <sheetPr codeName="Sheet1"/>
  <dimension ref="B11:M43"/>
  <sheetViews>
    <sheetView tabSelected="1" zoomScaleNormal="100" zoomScalePageLayoutView="106" workbookViewId="0">
      <selection activeCell="C16" sqref="C16"/>
    </sheetView>
  </sheetViews>
  <sheetFormatPr defaultColWidth="8.5546875" defaultRowHeight="14.4"/>
  <cols>
    <col min="1" max="1" width="2.5546875" style="4" customWidth="1"/>
    <col min="2" max="3" width="8.77734375" style="88" customWidth="1"/>
    <col min="4" max="8" width="8.77734375" style="89" customWidth="1"/>
    <col min="9" max="10" width="8.77734375" style="90" customWidth="1"/>
    <col min="11" max="11" width="8.77734375" style="1" customWidth="1"/>
    <col min="12" max="12" width="2.5546875" style="4" customWidth="1"/>
    <col min="13" max="16384" width="8.5546875" style="4"/>
  </cols>
  <sheetData>
    <row r="11" spans="3:3">
      <c r="C11" s="4"/>
    </row>
    <row r="13" spans="3:3" ht="33.6">
      <c r="C13" s="91" t="s">
        <v>0</v>
      </c>
    </row>
    <row r="14" spans="3:3" ht="23.4">
      <c r="C14" s="95" t="s">
        <v>1</v>
      </c>
    </row>
    <row r="15" spans="3:3">
      <c r="C15" s="4"/>
    </row>
    <row r="16" spans="3:3" ht="21">
      <c r="C16" s="121" t="s">
        <v>2</v>
      </c>
    </row>
    <row r="17" spans="2:11" s="15" customFormat="1" ht="21">
      <c r="B17" s="122"/>
      <c r="C17" s="121" t="s">
        <v>3</v>
      </c>
      <c r="D17" s="123"/>
      <c r="E17" s="123"/>
      <c r="F17" s="123"/>
      <c r="G17" s="123"/>
      <c r="H17" s="123"/>
      <c r="I17" s="124"/>
      <c r="J17" s="124"/>
      <c r="K17" s="125"/>
    </row>
    <row r="18" spans="2:11" s="15" customFormat="1" ht="21">
      <c r="B18" s="122"/>
      <c r="C18" s="121" t="s">
        <v>1576</v>
      </c>
      <c r="D18" s="121"/>
      <c r="E18" s="121"/>
      <c r="F18" s="123"/>
      <c r="G18" s="123"/>
      <c r="H18" s="123"/>
      <c r="I18" s="124"/>
      <c r="J18" s="124"/>
      <c r="K18" s="125"/>
    </row>
    <row r="19" spans="2:11">
      <c r="C19" s="92"/>
    </row>
    <row r="20" spans="2:11" ht="21">
      <c r="D20" s="121" t="s">
        <v>4</v>
      </c>
    </row>
    <row r="21" spans="2:11" ht="21">
      <c r="D21" s="121" t="s">
        <v>5</v>
      </c>
    </row>
    <row r="22" spans="2:11" ht="21">
      <c r="D22" s="121" t="s">
        <v>6</v>
      </c>
    </row>
    <row r="23" spans="2:11" ht="21">
      <c r="D23" s="121" t="s">
        <v>7</v>
      </c>
    </row>
    <row r="24" spans="2:11" ht="21">
      <c r="D24" s="167" t="s">
        <v>8</v>
      </c>
    </row>
    <row r="25" spans="2:11" ht="21">
      <c r="D25" s="167" t="s">
        <v>9</v>
      </c>
    </row>
    <row r="34" spans="2:13">
      <c r="I34" s="89"/>
      <c r="J34" s="89"/>
      <c r="K34" s="90"/>
      <c r="L34" s="90"/>
      <c r="M34" s="1"/>
    </row>
    <row r="35" spans="2:13">
      <c r="I35" s="89"/>
      <c r="J35" s="89"/>
      <c r="K35" s="90"/>
      <c r="L35" s="90"/>
      <c r="M35" s="1"/>
    </row>
    <row r="36" spans="2:13">
      <c r="C36" s="92" t="s">
        <v>10</v>
      </c>
      <c r="F36" s="168" t="s">
        <v>11</v>
      </c>
      <c r="G36" s="93"/>
      <c r="H36" s="93"/>
      <c r="I36" s="92" t="s">
        <v>12</v>
      </c>
      <c r="J36" s="93"/>
      <c r="K36" s="4"/>
    </row>
    <row r="37" spans="2:13">
      <c r="C37" s="92" t="s">
        <v>13</v>
      </c>
      <c r="F37" s="168" t="s">
        <v>14</v>
      </c>
      <c r="I37" s="92" t="s">
        <v>15</v>
      </c>
      <c r="J37" s="89"/>
      <c r="K37" s="4"/>
    </row>
    <row r="38" spans="2:13">
      <c r="C38" s="92" t="s">
        <v>16</v>
      </c>
      <c r="F38" s="168" t="s">
        <v>17</v>
      </c>
      <c r="I38" s="92" t="s">
        <v>18</v>
      </c>
      <c r="J38" s="89"/>
      <c r="K38" s="4"/>
    </row>
    <row r="39" spans="2:13">
      <c r="C39" s="92" t="s">
        <v>19</v>
      </c>
      <c r="F39" s="168" t="s">
        <v>20</v>
      </c>
      <c r="I39" s="92" t="s">
        <v>21</v>
      </c>
      <c r="J39" s="89"/>
      <c r="K39" s="4"/>
    </row>
    <row r="41" spans="2:13" s="94" customFormat="1" ht="26.25" customHeight="1">
      <c r="B41" s="197" t="s">
        <v>22</v>
      </c>
      <c r="C41" s="197"/>
      <c r="D41" s="197"/>
      <c r="E41" s="197"/>
      <c r="F41" s="197"/>
      <c r="G41" s="197"/>
      <c r="H41" s="197"/>
      <c r="I41" s="197"/>
      <c r="J41" s="197"/>
      <c r="K41" s="197"/>
    </row>
    <row r="42" spans="2:13" s="70" customFormat="1">
      <c r="B42" s="197"/>
      <c r="C42" s="197"/>
      <c r="D42" s="197"/>
      <c r="E42" s="197"/>
      <c r="F42" s="197"/>
      <c r="G42" s="197"/>
      <c r="H42" s="197"/>
      <c r="I42" s="197"/>
      <c r="J42" s="197"/>
      <c r="K42" s="197"/>
    </row>
    <row r="43" spans="2:13">
      <c r="B43" s="197"/>
      <c r="C43" s="197"/>
      <c r="D43" s="197"/>
      <c r="E43" s="197"/>
      <c r="F43" s="197"/>
      <c r="G43" s="197"/>
      <c r="H43" s="197"/>
      <c r="I43" s="197"/>
      <c r="J43" s="197"/>
      <c r="K43" s="197"/>
    </row>
  </sheetData>
  <sheetProtection algorithmName="SHA-512" hashValue="AO2TKJyaDspvf0L20Tc6MovHPLNd4TNkHXd5krLT3FLydJer6CtrsdRuStyPhuB1FgI4ZJHZAdmdiswbBtW/SQ==" saltValue="/I8e9sMPKBr4xzOhf4/3bQ==" spinCount="100000" sheet="1" objects="1" scenarios="1"/>
  <mergeCells count="3">
    <mergeCell ref="B43:K43"/>
    <mergeCell ref="B42:K42"/>
    <mergeCell ref="B41:K41"/>
  </mergeCells>
  <pageMargins left="0.70866141732283472" right="0.70866141732283472" top="0.74803149606299213" bottom="0.74803149606299213" header="0.31496062992125984" footer="0.31496062992125984"/>
  <pageSetup paperSize="9" scale="96" orientation="portrait" r:id="rId1"/>
  <headerFooter>
    <oddHeader>&amp;R&amp;G</oddHeader>
    <oddFooter>&amp;L&amp;8Version: 1.0&amp;C&amp;8&amp;P of &amp;N&amp;R&amp;8Revidováno: září 2023</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299C1-4110-46EF-9A1C-0EF051AD55C2}">
  <sheetPr codeName="Sheet10"/>
  <dimension ref="A1:L52"/>
  <sheetViews>
    <sheetView zoomScale="110" zoomScaleNormal="110" workbookViewId="0">
      <selection sqref="A1:L1"/>
    </sheetView>
  </sheetViews>
  <sheetFormatPr defaultColWidth="8.5546875" defaultRowHeight="14.4"/>
  <cols>
    <col min="1" max="2" width="2.5546875" style="4" customWidth="1"/>
    <col min="3" max="3" width="3.5546875" style="4" customWidth="1"/>
    <col min="4" max="4" width="2.5546875" style="4" customWidth="1"/>
    <col min="5" max="5" width="6.44140625" style="4" customWidth="1"/>
    <col min="6" max="6" width="16.44140625" style="4" customWidth="1"/>
    <col min="7" max="7" width="28.44140625" style="4" bestFit="1" customWidth="1"/>
    <col min="8" max="8" width="17.5546875" style="4" customWidth="1"/>
    <col min="9" max="9" width="12.5546875" style="4" customWidth="1"/>
    <col min="10" max="10" width="13.44140625" style="4" customWidth="1"/>
    <col min="11" max="11" width="6.5546875" style="4" customWidth="1"/>
    <col min="12" max="12" width="26.5546875" style="4" customWidth="1"/>
    <col min="13" max="16384" width="8.5546875" style="4"/>
  </cols>
  <sheetData>
    <row r="1" spans="1:12" s="15" customFormat="1" ht="18">
      <c r="A1" s="198" t="s">
        <v>695</v>
      </c>
      <c r="B1" s="234"/>
      <c r="C1" s="234"/>
      <c r="D1" s="234"/>
      <c r="E1" s="234"/>
      <c r="F1" s="234"/>
      <c r="G1" s="234"/>
      <c r="H1" s="234"/>
      <c r="I1" s="234"/>
      <c r="J1" s="234"/>
      <c r="K1" s="234"/>
      <c r="L1" s="234"/>
    </row>
    <row r="2" spans="1:12">
      <c r="C2" s="6"/>
      <c r="D2" s="7"/>
      <c r="E2" s="7"/>
      <c r="F2" s="7"/>
    </row>
    <row r="3" spans="1:12">
      <c r="B3" s="206" t="s">
        <v>360</v>
      </c>
      <c r="C3" s="207"/>
      <c r="D3" s="207"/>
      <c r="E3" s="207"/>
      <c r="F3" s="2" t="str">
        <f>'1.0 Sample_Prep'!$E$3</f>
        <v>Zadejte</v>
      </c>
    </row>
    <row r="4" spans="1:12">
      <c r="B4" s="228" t="s">
        <v>369</v>
      </c>
      <c r="C4" s="229"/>
      <c r="D4" s="229"/>
      <c r="E4" s="230"/>
      <c r="F4" s="82"/>
    </row>
    <row r="5" spans="1:12">
      <c r="A5" s="5"/>
      <c r="B5" s="231" t="s">
        <v>370</v>
      </c>
      <c r="C5" s="232"/>
      <c r="D5" s="232"/>
      <c r="E5" s="233"/>
      <c r="F5" s="82"/>
    </row>
    <row r="6" spans="1:12">
      <c r="A6" s="5"/>
      <c r="B6" s="67" t="s">
        <v>510</v>
      </c>
      <c r="C6" s="68"/>
      <c r="D6" s="68"/>
      <c r="E6" s="68"/>
      <c r="F6" s="82"/>
    </row>
    <row r="7" spans="1:12">
      <c r="C7" s="6"/>
      <c r="D7" s="7"/>
      <c r="E7" s="7"/>
      <c r="F7" s="7"/>
    </row>
    <row r="8" spans="1:12" ht="18">
      <c r="A8" s="201" t="s">
        <v>511</v>
      </c>
      <c r="B8" s="235"/>
      <c r="C8" s="235"/>
      <c r="D8" s="235"/>
      <c r="E8" s="235"/>
      <c r="F8" s="235"/>
      <c r="G8" s="235"/>
      <c r="H8" s="235"/>
      <c r="I8" s="235"/>
      <c r="J8" s="235"/>
      <c r="K8" s="235"/>
      <c r="L8" s="235"/>
    </row>
    <row r="9" spans="1:12">
      <c r="C9" s="8"/>
    </row>
    <row r="10" spans="1:12">
      <c r="B10" s="71"/>
      <c r="C10" s="4">
        <v>1</v>
      </c>
      <c r="D10" s="16" t="s">
        <v>650</v>
      </c>
      <c r="E10" s="9"/>
    </row>
    <row r="11" spans="1:12" s="17" customFormat="1" ht="28.8">
      <c r="C11" s="18"/>
      <c r="E11" s="257" t="s">
        <v>513</v>
      </c>
      <c r="F11" s="256"/>
      <c r="G11" s="36" t="s">
        <v>514</v>
      </c>
      <c r="H11" s="37" t="s">
        <v>515</v>
      </c>
      <c r="I11" s="38" t="s">
        <v>696</v>
      </c>
      <c r="J11" s="38" t="s">
        <v>697</v>
      </c>
      <c r="K11" s="30">
        <f>'3.0 SS_Purification'!I35</f>
        <v>1</v>
      </c>
      <c r="L11" s="38" t="s">
        <v>518</v>
      </c>
    </row>
    <row r="12" spans="1:12" ht="29.85" customHeight="1">
      <c r="B12" s="71"/>
      <c r="E12" s="280" t="s">
        <v>698</v>
      </c>
      <c r="F12" s="281"/>
      <c r="G12" s="83"/>
      <c r="H12" s="75" t="s">
        <v>699</v>
      </c>
      <c r="I12" s="69">
        <v>10</v>
      </c>
      <c r="J12" s="240">
        <f>$K$11*I12</f>
        <v>10</v>
      </c>
      <c r="K12" s="241"/>
      <c r="L12" s="19" t="s">
        <v>700</v>
      </c>
    </row>
    <row r="13" spans="1:12" ht="100.8">
      <c r="B13" s="71"/>
      <c r="E13" s="282" t="s">
        <v>701</v>
      </c>
      <c r="F13" s="283"/>
      <c r="G13" s="83"/>
      <c r="H13" s="75" t="s">
        <v>699</v>
      </c>
      <c r="I13" s="69">
        <v>50</v>
      </c>
      <c r="J13" s="240">
        <f>$K$11*I13</f>
        <v>50</v>
      </c>
      <c r="K13" s="241"/>
      <c r="L13" s="65" t="s">
        <v>702</v>
      </c>
    </row>
    <row r="14" spans="1:12" ht="29.85" customHeight="1">
      <c r="B14" s="71"/>
      <c r="E14" s="282" t="s">
        <v>703</v>
      </c>
      <c r="F14" s="283"/>
      <c r="G14" s="83"/>
      <c r="H14" s="75" t="s">
        <v>654</v>
      </c>
      <c r="I14" s="69">
        <v>10</v>
      </c>
      <c r="J14" s="240">
        <f>$K$11*I14</f>
        <v>10</v>
      </c>
      <c r="K14" s="241"/>
      <c r="L14" s="19" t="s">
        <v>704</v>
      </c>
    </row>
    <row r="15" spans="1:12">
      <c r="D15" s="9"/>
      <c r="E15" s="9"/>
      <c r="F15" s="9"/>
    </row>
    <row r="16" spans="1:12">
      <c r="B16" s="71"/>
      <c r="C16" s="4">
        <v>2</v>
      </c>
      <c r="D16" s="9" t="s">
        <v>537</v>
      </c>
      <c r="E16" s="9"/>
      <c r="F16" s="9"/>
    </row>
    <row r="17" spans="1:12">
      <c r="B17" s="71"/>
      <c r="C17" s="4">
        <v>3</v>
      </c>
      <c r="D17" s="9" t="s">
        <v>538</v>
      </c>
      <c r="E17" s="9"/>
      <c r="F17" s="9"/>
    </row>
    <row r="18" spans="1:12">
      <c r="B18" s="71"/>
      <c r="D18" s="9" t="s">
        <v>705</v>
      </c>
      <c r="E18" s="9"/>
      <c r="F18" s="9"/>
    </row>
    <row r="19" spans="1:12">
      <c r="D19" s="9"/>
      <c r="E19" s="9"/>
      <c r="F19" s="9"/>
    </row>
    <row r="20" spans="1:12" ht="18">
      <c r="A20" s="201" t="s">
        <v>706</v>
      </c>
      <c r="B20" s="235"/>
      <c r="C20" s="235"/>
      <c r="D20" s="235"/>
      <c r="E20" s="235"/>
      <c r="F20" s="235"/>
      <c r="G20" s="235"/>
      <c r="H20" s="235"/>
      <c r="I20" s="235"/>
      <c r="J20" s="235"/>
      <c r="K20" s="235"/>
      <c r="L20" s="235"/>
    </row>
    <row r="21" spans="1:12">
      <c r="C21" s="8"/>
    </row>
    <row r="22" spans="1:12" ht="31.35" customHeight="1">
      <c r="C22" s="287" t="s">
        <v>707</v>
      </c>
      <c r="D22" s="262"/>
      <c r="E22" s="262"/>
      <c r="F22" s="262"/>
      <c r="G22" s="262"/>
      <c r="H22" s="262"/>
      <c r="I22" s="262"/>
      <c r="J22" s="262"/>
      <c r="K22" s="262"/>
      <c r="L22" s="262"/>
    </row>
    <row r="23" spans="1:12" ht="29.55" customHeight="1">
      <c r="C23" s="287" t="s">
        <v>708</v>
      </c>
      <c r="D23" s="262"/>
      <c r="E23" s="262"/>
      <c r="F23" s="262"/>
      <c r="G23" s="262"/>
      <c r="H23" s="262"/>
      <c r="I23" s="262"/>
      <c r="J23" s="262"/>
      <c r="K23" s="262"/>
      <c r="L23" s="262"/>
    </row>
    <row r="24" spans="1:12">
      <c r="C24" s="8"/>
    </row>
    <row r="25" spans="1:12">
      <c r="B25" s="71"/>
      <c r="C25" s="4">
        <v>1</v>
      </c>
      <c r="D25" s="9" t="s">
        <v>709</v>
      </c>
      <c r="E25" s="9"/>
      <c r="F25" s="9"/>
    </row>
    <row r="26" spans="1:12">
      <c r="D26" s="9"/>
      <c r="E26" s="255" t="s">
        <v>513</v>
      </c>
      <c r="F26" s="256"/>
      <c r="G26" s="104" t="s">
        <v>710</v>
      </c>
    </row>
    <row r="27" spans="1:12">
      <c r="B27" s="71"/>
      <c r="D27" s="9"/>
      <c r="E27" s="247" t="s">
        <v>711</v>
      </c>
      <c r="F27" s="248"/>
      <c r="G27" s="103">
        <v>30</v>
      </c>
    </row>
    <row r="28" spans="1:12">
      <c r="B28" s="71"/>
      <c r="D28" s="9"/>
      <c r="E28" s="247" t="s">
        <v>698</v>
      </c>
      <c r="F28" s="248"/>
      <c r="G28" s="102">
        <v>10</v>
      </c>
    </row>
    <row r="29" spans="1:12">
      <c r="B29" s="71"/>
      <c r="D29" s="9"/>
      <c r="E29" s="247" t="s">
        <v>701</v>
      </c>
      <c r="F29" s="248"/>
      <c r="G29" s="102">
        <v>50</v>
      </c>
    </row>
    <row r="30" spans="1:12">
      <c r="B30" s="71"/>
      <c r="D30" s="9"/>
      <c r="E30" s="247" t="s">
        <v>703</v>
      </c>
      <c r="F30" s="248"/>
      <c r="G30" s="102">
        <v>10</v>
      </c>
    </row>
    <row r="31" spans="1:12">
      <c r="D31" s="9"/>
      <c r="E31" s="249" t="s">
        <v>548</v>
      </c>
      <c r="F31" s="250"/>
      <c r="G31" s="64">
        <f>SUM(G27:G30)</f>
        <v>100</v>
      </c>
    </row>
    <row r="32" spans="1:12">
      <c r="D32" s="9"/>
      <c r="E32" s="9"/>
      <c r="F32" s="5"/>
      <c r="G32" s="1"/>
    </row>
    <row r="33" spans="2:12">
      <c r="B33" s="71"/>
      <c r="C33" s="4">
        <v>2</v>
      </c>
      <c r="D33" s="16" t="s">
        <v>712</v>
      </c>
      <c r="E33" s="9"/>
      <c r="F33" s="9"/>
      <c r="H33" s="1"/>
      <c r="I33" s="66"/>
    </row>
    <row r="34" spans="2:12">
      <c r="B34" s="71"/>
      <c r="C34" s="4">
        <v>3</v>
      </c>
      <c r="D34" s="9" t="s">
        <v>713</v>
      </c>
      <c r="E34" s="9"/>
      <c r="F34" s="9"/>
    </row>
    <row r="35" spans="2:12">
      <c r="B35" s="71"/>
      <c r="C35" s="4">
        <v>4</v>
      </c>
      <c r="D35" s="9" t="s">
        <v>714</v>
      </c>
      <c r="E35" s="9"/>
      <c r="F35" s="9"/>
    </row>
    <row r="36" spans="2:12">
      <c r="B36" s="71"/>
      <c r="C36" s="15"/>
      <c r="D36" s="9"/>
      <c r="E36" s="242" t="s">
        <v>558</v>
      </c>
      <c r="F36" s="243"/>
      <c r="G36" s="71"/>
    </row>
    <row r="37" spans="2:12">
      <c r="B37" s="71"/>
      <c r="C37" s="15"/>
      <c r="D37" s="9"/>
      <c r="E37" s="242" t="s">
        <v>559</v>
      </c>
      <c r="F37" s="243"/>
      <c r="G37" s="71"/>
    </row>
    <row r="38" spans="2:12">
      <c r="C38" s="15"/>
      <c r="D38" s="9" t="s">
        <v>715</v>
      </c>
      <c r="E38" s="1"/>
      <c r="F38" s="1"/>
    </row>
    <row r="39" spans="2:12">
      <c r="C39" s="15"/>
      <c r="D39" s="9"/>
      <c r="E39" s="7" t="s">
        <v>716</v>
      </c>
      <c r="F39" s="1"/>
    </row>
    <row r="40" spans="2:12">
      <c r="C40" s="8"/>
      <c r="E40" s="76" t="s">
        <v>717</v>
      </c>
    </row>
    <row r="41" spans="2:12" ht="28.35" customHeight="1">
      <c r="D41" s="9"/>
      <c r="E41" s="35" t="s">
        <v>612</v>
      </c>
      <c r="F41" s="101" t="s">
        <v>613</v>
      </c>
      <c r="G41" s="38" t="s">
        <v>563</v>
      </c>
      <c r="H41" s="38" t="s">
        <v>564</v>
      </c>
      <c r="I41" s="38" t="s">
        <v>614</v>
      </c>
    </row>
    <row r="42" spans="2:12">
      <c r="D42" s="9"/>
      <c r="E42" s="22">
        <v>1</v>
      </c>
      <c r="F42" s="27" t="s">
        <v>620</v>
      </c>
      <c r="G42" s="28" t="s">
        <v>619</v>
      </c>
      <c r="H42" s="2" t="s">
        <v>566</v>
      </c>
      <c r="I42" s="69">
        <v>1</v>
      </c>
    </row>
    <row r="43" spans="2:12" ht="28.8">
      <c r="D43" s="9"/>
      <c r="E43" s="22">
        <v>2</v>
      </c>
      <c r="F43" s="27" t="s">
        <v>718</v>
      </c>
      <c r="G43" s="194" t="s">
        <v>719</v>
      </c>
      <c r="H43" s="2" t="s">
        <v>720</v>
      </c>
      <c r="I43" s="69">
        <v>1</v>
      </c>
    </row>
    <row r="44" spans="2:12">
      <c r="D44" s="9"/>
      <c r="E44" s="22">
        <v>3</v>
      </c>
      <c r="F44" s="284" t="s">
        <v>721</v>
      </c>
      <c r="G44" s="285"/>
      <c r="H44" s="285"/>
      <c r="I44" s="252"/>
    </row>
    <row r="45" spans="2:12">
      <c r="D45" s="9"/>
      <c r="E45" s="22">
        <v>4</v>
      </c>
      <c r="F45" s="27" t="s">
        <v>722</v>
      </c>
      <c r="G45" s="28" t="s">
        <v>723</v>
      </c>
      <c r="H45" s="118" t="s">
        <v>724</v>
      </c>
      <c r="I45" s="69">
        <v>1</v>
      </c>
    </row>
    <row r="46" spans="2:12" s="70" customFormat="1" ht="57.6">
      <c r="D46" s="153"/>
      <c r="E46" s="154">
        <v>5</v>
      </c>
      <c r="F46" s="27" t="s">
        <v>725</v>
      </c>
      <c r="G46" s="155" t="s">
        <v>723</v>
      </c>
      <c r="H46" s="19" t="s">
        <v>726</v>
      </c>
      <c r="I46" s="69">
        <v>1</v>
      </c>
    </row>
    <row r="47" spans="2:12">
      <c r="C47" s="8"/>
    </row>
    <row r="48" spans="2:12" ht="29.25" customHeight="1">
      <c r="B48" s="71"/>
      <c r="C48" s="70">
        <v>5</v>
      </c>
      <c r="D48" s="286" t="s">
        <v>727</v>
      </c>
      <c r="E48" s="262"/>
      <c r="F48" s="262"/>
      <c r="G48" s="262"/>
      <c r="H48" s="262"/>
      <c r="I48" s="262"/>
      <c r="J48" s="262"/>
      <c r="K48" s="262"/>
      <c r="L48" s="262"/>
    </row>
    <row r="49" spans="1:12">
      <c r="C49" s="9"/>
      <c r="E49" s="9"/>
      <c r="F49" s="9"/>
    </row>
    <row r="50" spans="1:12">
      <c r="B50" s="67" t="s">
        <v>631</v>
      </c>
      <c r="C50" s="68"/>
      <c r="D50" s="68"/>
      <c r="E50" s="68"/>
      <c r="F50" s="71"/>
    </row>
    <row r="51" spans="1:12">
      <c r="D51" s="9"/>
      <c r="E51" s="9"/>
      <c r="F51" s="9"/>
    </row>
    <row r="52" spans="1:12" ht="18">
      <c r="A52" s="201" t="s">
        <v>728</v>
      </c>
      <c r="B52" s="235"/>
      <c r="C52" s="235"/>
      <c r="D52" s="235"/>
      <c r="E52" s="235"/>
      <c r="F52" s="235"/>
      <c r="G52" s="235"/>
      <c r="H52" s="235"/>
      <c r="I52" s="235"/>
      <c r="J52" s="235"/>
      <c r="K52" s="235"/>
      <c r="L52" s="235"/>
    </row>
  </sheetData>
  <sheetProtection algorithmName="SHA-512" hashValue="7mZQ7zzXRRcO2uT9RJUnw7cG2jRyXu/jf4wfayRNb4XIu/JTlwKK+akNociwE0a/6NrpngnghrSR0pErXguvEw==" saltValue="4X1qFHWV73qVnikvvrqWpw==" spinCount="100000" sheet="1" objects="1" scenarios="1"/>
  <mergeCells count="26">
    <mergeCell ref="A52:L52"/>
    <mergeCell ref="A20:L20"/>
    <mergeCell ref="E26:F26"/>
    <mergeCell ref="E27:F27"/>
    <mergeCell ref="E28:F28"/>
    <mergeCell ref="E29:F29"/>
    <mergeCell ref="E30:F30"/>
    <mergeCell ref="E31:F31"/>
    <mergeCell ref="E36:F36"/>
    <mergeCell ref="E37:F37"/>
    <mergeCell ref="F44:I44"/>
    <mergeCell ref="D48:L48"/>
    <mergeCell ref="C22:L22"/>
    <mergeCell ref="C23:L23"/>
    <mergeCell ref="E12:F12"/>
    <mergeCell ref="J12:K12"/>
    <mergeCell ref="E13:F13"/>
    <mergeCell ref="J13:K13"/>
    <mergeCell ref="E14:F14"/>
    <mergeCell ref="J14:K14"/>
    <mergeCell ref="E11:F11"/>
    <mergeCell ref="A1:L1"/>
    <mergeCell ref="B3:E3"/>
    <mergeCell ref="B4:E4"/>
    <mergeCell ref="B5:E5"/>
    <mergeCell ref="A8:L8"/>
  </mergeCells>
  <pageMargins left="0.70866141732283472" right="0.70866141732283472" top="0.74803149606299213" bottom="0.74803149606299213" header="0.31496062992125984" footer="0.31496062992125984"/>
  <pageSetup paperSize="9" scale="60" fitToHeight="0" orientation="portrait" r:id="rId1"/>
  <headerFooter>
    <oddHeader>&amp;R&amp;G</oddHeader>
    <oddFooter>&amp;L&amp;8Version: 1.0&amp;C&amp;8&amp;P of &amp;N&amp;R&amp;8Revidováno: září 2023</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3096D-FF74-4AB5-9D7D-0DF96DC4191D}">
  <sheetPr codeName="Sheet11"/>
  <dimension ref="A1:O76"/>
  <sheetViews>
    <sheetView zoomScaleNormal="100" workbookViewId="0">
      <selection sqref="A1:L1"/>
    </sheetView>
  </sheetViews>
  <sheetFormatPr defaultColWidth="8.5546875" defaultRowHeight="14.4"/>
  <cols>
    <col min="1" max="2" width="2.5546875" style="4" customWidth="1"/>
    <col min="3" max="3" width="3.5546875" style="4" customWidth="1"/>
    <col min="4" max="4" width="2.5546875" style="4" customWidth="1"/>
    <col min="5" max="5" width="6.44140625" style="4" customWidth="1"/>
    <col min="6" max="6" width="16.5546875" style="4" customWidth="1"/>
    <col min="7" max="7" width="28.44140625" style="4" customWidth="1"/>
    <col min="8" max="8" width="17.5546875" style="4" customWidth="1"/>
    <col min="9" max="9" width="12.5546875" style="4" customWidth="1"/>
    <col min="10" max="10" width="13.44140625" style="4" customWidth="1"/>
    <col min="11" max="11" width="6.5546875" style="4" customWidth="1"/>
    <col min="12" max="12" width="26.5546875" style="4" customWidth="1"/>
    <col min="13" max="16384" width="8.5546875" style="4"/>
  </cols>
  <sheetData>
    <row r="1" spans="1:15" s="15" customFormat="1" ht="18">
      <c r="A1" s="198" t="s">
        <v>729</v>
      </c>
      <c r="B1" s="234"/>
      <c r="C1" s="234"/>
      <c r="D1" s="234"/>
      <c r="E1" s="234"/>
      <c r="F1" s="234"/>
      <c r="G1" s="234"/>
      <c r="H1" s="234"/>
      <c r="I1" s="234"/>
      <c r="J1" s="234"/>
      <c r="K1" s="234"/>
      <c r="L1" s="234"/>
      <c r="M1"/>
      <c r="O1"/>
    </row>
    <row r="2" spans="1:15">
      <c r="C2" s="6"/>
      <c r="D2" s="7"/>
      <c r="E2" s="7"/>
      <c r="F2" s="7"/>
    </row>
    <row r="3" spans="1:15">
      <c r="B3" s="206" t="s">
        <v>360</v>
      </c>
      <c r="C3" s="207"/>
      <c r="D3" s="207"/>
      <c r="E3" s="207"/>
      <c r="F3" s="2" t="str">
        <f>'1.0 Sample_Prep'!$E$3</f>
        <v>Zadejte</v>
      </c>
    </row>
    <row r="4" spans="1:15">
      <c r="B4" s="228" t="s">
        <v>369</v>
      </c>
      <c r="C4" s="229"/>
      <c r="D4" s="229"/>
      <c r="E4" s="230"/>
      <c r="F4" s="82"/>
    </row>
    <row r="5" spans="1:15">
      <c r="A5" s="5"/>
      <c r="B5" s="231" t="s">
        <v>370</v>
      </c>
      <c r="C5" s="232"/>
      <c r="D5" s="232"/>
      <c r="E5" s="233"/>
      <c r="F5" s="82"/>
    </row>
    <row r="6" spans="1:15">
      <c r="A6" s="5"/>
      <c r="B6" s="67" t="s">
        <v>510</v>
      </c>
      <c r="C6" s="68"/>
      <c r="D6" s="68"/>
      <c r="E6" s="68"/>
      <c r="F6" s="82"/>
    </row>
    <row r="7" spans="1:15">
      <c r="C7" s="6"/>
      <c r="D7" s="7"/>
      <c r="E7" s="7"/>
      <c r="F7" s="7"/>
    </row>
    <row r="8" spans="1:15" ht="18">
      <c r="A8" s="201" t="s">
        <v>511</v>
      </c>
      <c r="B8" s="235"/>
      <c r="C8" s="235"/>
      <c r="D8" s="235"/>
      <c r="E8" s="235"/>
      <c r="F8" s="235"/>
      <c r="G8" s="235"/>
      <c r="H8" s="235"/>
      <c r="I8" s="235"/>
      <c r="J8" s="235"/>
      <c r="K8" s="235"/>
      <c r="L8" s="235"/>
    </row>
    <row r="9" spans="1:15">
      <c r="C9" s="8"/>
    </row>
    <row r="10" spans="1:15">
      <c r="B10" s="71"/>
      <c r="C10" s="4">
        <v>1</v>
      </c>
      <c r="D10" s="16" t="s">
        <v>650</v>
      </c>
      <c r="E10" s="9"/>
    </row>
    <row r="11" spans="1:15" s="17" customFormat="1" ht="28.8">
      <c r="C11" s="18"/>
      <c r="E11" s="257" t="s">
        <v>513</v>
      </c>
      <c r="F11" s="256"/>
      <c r="G11" s="36" t="s">
        <v>514</v>
      </c>
      <c r="H11" s="37" t="s">
        <v>515</v>
      </c>
      <c r="I11" s="38" t="s">
        <v>710</v>
      </c>
      <c r="J11" s="38" t="s">
        <v>697</v>
      </c>
      <c r="K11" s="119">
        <f>'4.0 Hybridisation'!K11</f>
        <v>1</v>
      </c>
      <c r="L11" s="38" t="s">
        <v>518</v>
      </c>
    </row>
    <row r="12" spans="1:15" ht="27.75" customHeight="1">
      <c r="B12" s="71"/>
      <c r="E12" s="241" t="s">
        <v>730</v>
      </c>
      <c r="F12" s="248"/>
      <c r="G12" s="83"/>
      <c r="H12" s="75" t="s">
        <v>654</v>
      </c>
      <c r="I12" s="19">
        <v>250</v>
      </c>
      <c r="J12" s="288">
        <f>K11*I12</f>
        <v>250</v>
      </c>
      <c r="K12" s="253"/>
      <c r="L12" s="31" t="s">
        <v>731</v>
      </c>
    </row>
    <row r="13" spans="1:15" ht="27.75" customHeight="1">
      <c r="B13" s="71"/>
      <c r="E13" s="241" t="s">
        <v>732</v>
      </c>
      <c r="F13" s="248"/>
      <c r="G13" s="83"/>
      <c r="H13" s="75" t="s">
        <v>699</v>
      </c>
      <c r="I13" s="19">
        <v>800</v>
      </c>
      <c r="J13" s="288">
        <f>(K11*I13)+(K11*100)</f>
        <v>900</v>
      </c>
      <c r="K13" s="253"/>
      <c r="L13" s="65" t="s">
        <v>733</v>
      </c>
    </row>
    <row r="14" spans="1:15" ht="27.75" customHeight="1">
      <c r="B14" s="71"/>
      <c r="E14" s="241" t="s">
        <v>734</v>
      </c>
      <c r="F14" s="248"/>
      <c r="G14" s="83"/>
      <c r="H14" s="75" t="s">
        <v>699</v>
      </c>
      <c r="I14" s="19">
        <v>28.5</v>
      </c>
      <c r="J14" s="288">
        <f>K11*I14</f>
        <v>28.5</v>
      </c>
      <c r="K14" s="253"/>
      <c r="L14" s="19" t="s">
        <v>700</v>
      </c>
    </row>
    <row r="15" spans="1:15" ht="43.2">
      <c r="B15" s="71"/>
      <c r="E15" s="241" t="s">
        <v>735</v>
      </c>
      <c r="F15" s="248"/>
      <c r="G15" s="83"/>
      <c r="H15" s="75" t="s">
        <v>699</v>
      </c>
      <c r="I15" s="19">
        <v>1.5</v>
      </c>
      <c r="J15" s="288">
        <f>K11*I15</f>
        <v>1.5</v>
      </c>
      <c r="K15" s="253"/>
      <c r="L15" s="19" t="s">
        <v>736</v>
      </c>
    </row>
    <row r="16" spans="1:15" ht="27.75" customHeight="1">
      <c r="B16" s="71"/>
      <c r="E16" s="241" t="s">
        <v>737</v>
      </c>
      <c r="F16" s="248"/>
      <c r="G16" s="83"/>
      <c r="H16" s="75" t="s">
        <v>654</v>
      </c>
      <c r="I16" s="19">
        <v>4</v>
      </c>
      <c r="J16" s="288">
        <f>K11*I16</f>
        <v>4</v>
      </c>
      <c r="K16" s="253"/>
      <c r="L16" s="19" t="s">
        <v>700</v>
      </c>
    </row>
    <row r="17" spans="1:12">
      <c r="E17" s="5"/>
      <c r="F17" s="110"/>
      <c r="G17" s="5"/>
      <c r="H17" s="111"/>
      <c r="I17" s="74"/>
      <c r="J17" s="74"/>
      <c r="K17" s="5"/>
      <c r="L17" s="110"/>
    </row>
    <row r="18" spans="1:12">
      <c r="B18" s="71"/>
      <c r="C18" s="4">
        <v>2</v>
      </c>
      <c r="D18" s="16" t="s">
        <v>738</v>
      </c>
      <c r="E18" s="9"/>
      <c r="F18" s="17"/>
      <c r="G18" s="17"/>
      <c r="H18" s="17"/>
      <c r="I18" s="17"/>
    </row>
    <row r="19" spans="1:12" ht="28.8">
      <c r="C19" s="109"/>
      <c r="D19" s="109"/>
      <c r="E19" s="289" t="s">
        <v>513</v>
      </c>
      <c r="F19" s="290"/>
      <c r="G19" s="38" t="s">
        <v>710</v>
      </c>
      <c r="H19" s="38" t="s">
        <v>697</v>
      </c>
      <c r="I19" s="30">
        <f>K11</f>
        <v>1</v>
      </c>
    </row>
    <row r="20" spans="1:12">
      <c r="B20" s="71"/>
      <c r="E20" s="241" t="s">
        <v>734</v>
      </c>
      <c r="F20" s="248"/>
      <c r="G20" s="108">
        <v>28.5</v>
      </c>
      <c r="H20" s="291">
        <f>I19*G20</f>
        <v>28.5</v>
      </c>
      <c r="I20" s="292"/>
    </row>
    <row r="21" spans="1:12">
      <c r="B21" s="71"/>
      <c r="E21" s="241" t="s">
        <v>735</v>
      </c>
      <c r="F21" s="248"/>
      <c r="G21" s="108">
        <v>1.5</v>
      </c>
      <c r="H21" s="291">
        <f>I19*G21</f>
        <v>1.5</v>
      </c>
      <c r="I21" s="292"/>
    </row>
    <row r="22" spans="1:12" ht="32.1" customHeight="1">
      <c r="B22" s="133"/>
      <c r="C22" s="287" t="s">
        <v>739</v>
      </c>
      <c r="D22" s="262"/>
      <c r="E22" s="262"/>
      <c r="F22" s="262"/>
      <c r="G22" s="262"/>
      <c r="H22" s="262"/>
      <c r="I22" s="262"/>
      <c r="J22" s="262"/>
      <c r="K22" s="262"/>
      <c r="L22" s="262"/>
    </row>
    <row r="23" spans="1:12">
      <c r="D23" s="9"/>
      <c r="E23" s="9"/>
      <c r="F23" s="9"/>
    </row>
    <row r="24" spans="1:12">
      <c r="B24" s="71"/>
      <c r="C24" s="4">
        <v>3</v>
      </c>
      <c r="D24" s="9" t="s">
        <v>537</v>
      </c>
      <c r="E24" s="9"/>
      <c r="F24" s="9"/>
    </row>
    <row r="25" spans="1:12">
      <c r="B25" s="71"/>
      <c r="C25" s="4">
        <v>4</v>
      </c>
      <c r="D25" s="9" t="s">
        <v>538</v>
      </c>
      <c r="E25" s="9"/>
      <c r="F25" s="9"/>
    </row>
    <row r="26" spans="1:12">
      <c r="B26" s="71"/>
      <c r="D26" s="4" t="s">
        <v>740</v>
      </c>
      <c r="E26" s="9"/>
      <c r="F26" s="9"/>
    </row>
    <row r="27" spans="1:12">
      <c r="B27" s="71"/>
      <c r="D27" s="9" t="s">
        <v>705</v>
      </c>
      <c r="E27" s="9"/>
      <c r="F27" s="9"/>
    </row>
    <row r="28" spans="1:12">
      <c r="D28" s="9"/>
      <c r="E28" s="9"/>
      <c r="F28" s="9"/>
    </row>
    <row r="29" spans="1:12" ht="18">
      <c r="A29" s="201" t="s">
        <v>741</v>
      </c>
      <c r="B29" s="235"/>
      <c r="C29" s="235"/>
      <c r="D29" s="235"/>
      <c r="E29" s="235"/>
      <c r="F29" s="235"/>
      <c r="G29" s="235"/>
      <c r="H29" s="235"/>
      <c r="I29" s="235"/>
      <c r="J29" s="235"/>
      <c r="K29" s="235"/>
      <c r="L29" s="235"/>
    </row>
    <row r="30" spans="1:12">
      <c r="C30" s="8"/>
    </row>
    <row r="31" spans="1:12">
      <c r="C31" s="107" t="s">
        <v>742</v>
      </c>
    </row>
    <row r="32" spans="1:12">
      <c r="C32" s="8"/>
    </row>
    <row r="33" spans="2:12">
      <c r="B33" s="71"/>
      <c r="C33" s="4">
        <v>1</v>
      </c>
      <c r="D33" s="9" t="s">
        <v>743</v>
      </c>
      <c r="E33" s="9"/>
      <c r="F33" s="9"/>
    </row>
    <row r="34" spans="2:12">
      <c r="B34" s="71"/>
      <c r="C34" s="15">
        <v>2</v>
      </c>
      <c r="D34" s="193" t="s">
        <v>744</v>
      </c>
      <c r="E34" s="25"/>
      <c r="F34" s="25"/>
      <c r="G34" s="26"/>
      <c r="H34" s="26"/>
    </row>
    <row r="35" spans="2:12">
      <c r="B35" s="71"/>
      <c r="C35" s="15">
        <v>3</v>
      </c>
      <c r="D35" s="9" t="s">
        <v>745</v>
      </c>
      <c r="E35" s="9"/>
      <c r="F35" s="9"/>
    </row>
    <row r="36" spans="2:12">
      <c r="B36" s="71"/>
      <c r="C36" s="15">
        <v>4</v>
      </c>
      <c r="D36" s="9" t="s">
        <v>746</v>
      </c>
      <c r="E36" s="9"/>
      <c r="F36" s="9"/>
    </row>
    <row r="37" spans="2:12">
      <c r="B37" s="71"/>
      <c r="C37" s="15">
        <v>5</v>
      </c>
      <c r="D37" s="9" t="s">
        <v>676</v>
      </c>
      <c r="E37" s="9"/>
      <c r="F37" s="9"/>
    </row>
    <row r="38" spans="2:12">
      <c r="B38" s="71"/>
      <c r="C38" s="15">
        <v>6</v>
      </c>
      <c r="D38" s="9" t="s">
        <v>747</v>
      </c>
      <c r="E38" s="9"/>
      <c r="F38" s="9"/>
    </row>
    <row r="39" spans="2:12">
      <c r="B39" s="71"/>
      <c r="C39" s="15">
        <v>7</v>
      </c>
      <c r="D39" s="9" t="s">
        <v>748</v>
      </c>
    </row>
    <row r="40" spans="2:12">
      <c r="B40" s="71"/>
      <c r="C40" s="15">
        <v>8</v>
      </c>
      <c r="D40" s="4" t="s">
        <v>749</v>
      </c>
      <c r="E40" s="24"/>
      <c r="F40" s="24"/>
      <c r="G40" s="24"/>
    </row>
    <row r="41" spans="2:12">
      <c r="B41" s="21"/>
      <c r="C41" s="15"/>
      <c r="D41" s="9"/>
      <c r="E41" s="9"/>
      <c r="F41" s="9"/>
    </row>
    <row r="42" spans="2:12" s="20" customFormat="1" ht="29.55" customHeight="1">
      <c r="C42" s="287" t="s">
        <v>750</v>
      </c>
      <c r="D42" s="262"/>
      <c r="E42" s="262"/>
      <c r="F42" s="262"/>
      <c r="G42" s="262"/>
      <c r="H42" s="262"/>
      <c r="I42" s="262"/>
      <c r="J42" s="262"/>
      <c r="K42" s="262"/>
      <c r="L42" s="262"/>
    </row>
    <row r="43" spans="2:12" s="20" customFormat="1">
      <c r="C43" s="8"/>
    </row>
    <row r="44" spans="2:12">
      <c r="B44" s="71"/>
      <c r="C44" s="71"/>
      <c r="D44" s="71"/>
      <c r="E44" s="106" t="s">
        <v>555</v>
      </c>
      <c r="F44" s="9" t="s">
        <v>751</v>
      </c>
      <c r="G44" s="20"/>
    </row>
    <row r="45" spans="2:12">
      <c r="B45" s="71"/>
      <c r="C45" s="71"/>
      <c r="D45" s="71"/>
      <c r="E45" s="32" t="s">
        <v>556</v>
      </c>
      <c r="F45" s="4" t="s">
        <v>752</v>
      </c>
      <c r="H45" s="9"/>
    </row>
    <row r="46" spans="2:12">
      <c r="B46" s="71"/>
      <c r="C46" s="71"/>
      <c r="D46" s="71"/>
      <c r="E46" s="106" t="s">
        <v>579</v>
      </c>
      <c r="F46" s="9" t="s">
        <v>745</v>
      </c>
    </row>
    <row r="47" spans="2:12">
      <c r="B47" s="71"/>
      <c r="C47" s="71"/>
      <c r="D47" s="71"/>
      <c r="E47" s="32" t="s">
        <v>581</v>
      </c>
      <c r="F47" s="9" t="s">
        <v>753</v>
      </c>
    </row>
    <row r="48" spans="2:12">
      <c r="B48" s="71"/>
      <c r="C48" s="71"/>
      <c r="D48" s="71"/>
      <c r="E48" s="106" t="s">
        <v>583</v>
      </c>
      <c r="F48" s="9" t="s">
        <v>754</v>
      </c>
    </row>
    <row r="49" spans="2:8">
      <c r="B49" s="71"/>
      <c r="C49" s="71"/>
      <c r="D49" s="71"/>
      <c r="E49" s="106" t="s">
        <v>585</v>
      </c>
      <c r="F49" s="9" t="s">
        <v>748</v>
      </c>
    </row>
    <row r="50" spans="2:8">
      <c r="B50" s="71"/>
      <c r="C50" s="71"/>
      <c r="D50" s="20"/>
      <c r="E50" s="106" t="s">
        <v>587</v>
      </c>
      <c r="F50" s="9" t="str">
        <f>"Opakujte kroky  "&amp;E44&amp;" až "&amp;E49&amp;" ještě dvakrát, k dosažení celkem 3 promytí."</f>
        <v>Opakujte kroky  a) až f) ještě dvakrát, k dosažení celkem 3 promytí.</v>
      </c>
    </row>
    <row r="51" spans="2:8">
      <c r="B51" s="71"/>
      <c r="C51" s="4">
        <v>9</v>
      </c>
      <c r="D51" s="9" t="s">
        <v>751</v>
      </c>
    </row>
    <row r="52" spans="2:8">
      <c r="B52" s="71"/>
      <c r="C52" s="4">
        <v>10</v>
      </c>
      <c r="D52" s="4" t="s">
        <v>752</v>
      </c>
      <c r="F52" s="15"/>
    </row>
    <row r="53" spans="2:8">
      <c r="B53" s="71"/>
      <c r="C53" s="4">
        <v>11</v>
      </c>
      <c r="D53" s="9" t="s">
        <v>755</v>
      </c>
      <c r="F53" s="15"/>
    </row>
    <row r="54" spans="2:8">
      <c r="B54" s="71"/>
      <c r="C54" s="4">
        <v>12</v>
      </c>
      <c r="D54" s="15" t="s">
        <v>756</v>
      </c>
      <c r="F54" s="15"/>
    </row>
    <row r="55" spans="2:8">
      <c r="B55" s="21"/>
      <c r="C55" s="15"/>
      <c r="D55" s="9"/>
      <c r="E55" s="9"/>
      <c r="F55" s="9"/>
    </row>
    <row r="56" spans="2:8" s="20" customFormat="1">
      <c r="C56" s="8" t="s">
        <v>757</v>
      </c>
      <c r="D56" s="4"/>
      <c r="E56" s="4"/>
      <c r="F56" s="4"/>
    </row>
    <row r="57" spans="2:8" s="20" customFormat="1">
      <c r="C57" s="8"/>
    </row>
    <row r="58" spans="2:8">
      <c r="B58" s="71"/>
      <c r="C58" s="15">
        <v>13</v>
      </c>
      <c r="D58" s="9" t="s">
        <v>758</v>
      </c>
    </row>
    <row r="59" spans="2:8">
      <c r="B59" s="71"/>
      <c r="C59" s="15">
        <v>14</v>
      </c>
      <c r="D59" s="9" t="s">
        <v>759</v>
      </c>
    </row>
    <row r="60" spans="2:8">
      <c r="B60" s="71"/>
      <c r="C60" s="15">
        <v>15</v>
      </c>
      <c r="D60" s="9" t="s">
        <v>748</v>
      </c>
    </row>
    <row r="61" spans="2:8">
      <c r="B61" s="71"/>
      <c r="C61" s="15">
        <v>16</v>
      </c>
      <c r="D61" s="9" t="s">
        <v>760</v>
      </c>
    </row>
    <row r="62" spans="2:8">
      <c r="B62" s="71"/>
      <c r="C62" s="15">
        <v>17</v>
      </c>
      <c r="D62" s="9" t="s">
        <v>761</v>
      </c>
    </row>
    <row r="63" spans="2:8">
      <c r="B63" s="71"/>
      <c r="C63" s="15">
        <v>18</v>
      </c>
      <c r="D63" s="4" t="s">
        <v>762</v>
      </c>
      <c r="H63" s="105"/>
    </row>
    <row r="64" spans="2:8">
      <c r="B64" s="71"/>
      <c r="C64" s="15">
        <v>19</v>
      </c>
      <c r="D64" s="9" t="s">
        <v>763</v>
      </c>
      <c r="H64" s="9"/>
    </row>
    <row r="65" spans="1:12">
      <c r="B65" s="71"/>
      <c r="C65" s="15">
        <v>20</v>
      </c>
      <c r="D65" s="4" t="s">
        <v>764</v>
      </c>
    </row>
    <row r="66" spans="1:12">
      <c r="B66" s="71"/>
      <c r="C66" s="15">
        <v>21</v>
      </c>
      <c r="D66" s="9" t="s">
        <v>765</v>
      </c>
    </row>
    <row r="67" spans="1:12">
      <c r="B67" s="71"/>
      <c r="C67" s="15">
        <v>22</v>
      </c>
      <c r="D67" s="9" t="s">
        <v>766</v>
      </c>
      <c r="H67" s="9"/>
    </row>
    <row r="68" spans="1:12">
      <c r="B68" s="71"/>
      <c r="C68" s="15">
        <v>23</v>
      </c>
      <c r="D68" s="4" t="s">
        <v>767</v>
      </c>
    </row>
    <row r="69" spans="1:12">
      <c r="B69" s="71"/>
      <c r="C69" s="15">
        <v>24</v>
      </c>
      <c r="D69" s="4" t="s">
        <v>768</v>
      </c>
    </row>
    <row r="70" spans="1:12">
      <c r="B70" s="71"/>
      <c r="C70" s="15">
        <v>25</v>
      </c>
      <c r="D70" s="4" t="s">
        <v>769</v>
      </c>
    </row>
    <row r="71" spans="1:12">
      <c r="B71"/>
      <c r="C71" s="15"/>
      <c r="D71" s="9"/>
      <c r="E71" s="9"/>
      <c r="F71" s="9"/>
    </row>
    <row r="72" spans="1:12" s="20" customFormat="1">
      <c r="C72" s="8" t="s">
        <v>770</v>
      </c>
      <c r="D72" s="4"/>
      <c r="E72" s="4"/>
      <c r="F72" s="4"/>
    </row>
    <row r="73" spans="1:12">
      <c r="C73" s="9"/>
      <c r="E73" s="9"/>
      <c r="F73" s="9"/>
    </row>
    <row r="74" spans="1:12">
      <c r="B74" s="67" t="s">
        <v>631</v>
      </c>
      <c r="C74" s="68"/>
      <c r="D74" s="68"/>
      <c r="E74" s="68"/>
      <c r="F74" s="71"/>
    </row>
    <row r="75" spans="1:12">
      <c r="D75" s="9"/>
      <c r="E75" s="9"/>
      <c r="F75" s="9"/>
    </row>
    <row r="76" spans="1:12" ht="18">
      <c r="A76" s="201" t="s">
        <v>771</v>
      </c>
      <c r="B76" s="235"/>
      <c r="C76" s="235"/>
      <c r="D76" s="235"/>
      <c r="E76" s="235"/>
      <c r="F76" s="235"/>
      <c r="G76" s="235"/>
      <c r="H76" s="235"/>
      <c r="I76" s="235"/>
      <c r="J76" s="235"/>
      <c r="K76" s="235"/>
      <c r="L76" s="235"/>
    </row>
  </sheetData>
  <sheetProtection algorithmName="SHA-512" hashValue="8SaY4pZKkl0D+DfdOYlsOrjQ41KeBmiW22rAEfyqMmqCzUWBY1UpQ8ZFqojZ9izpmFAQsLl9hqCVGu8TPkObIw==" saltValue="BEqi399X2AhdRgcQL6VHYQ==" spinCount="100000" sheet="1" objects="1" scenarios="1"/>
  <mergeCells count="25">
    <mergeCell ref="B4:E4"/>
    <mergeCell ref="B5:E5"/>
    <mergeCell ref="E11:F11"/>
    <mergeCell ref="A29:L29"/>
    <mergeCell ref="A1:L1"/>
    <mergeCell ref="B3:E3"/>
    <mergeCell ref="A8:L8"/>
    <mergeCell ref="E12:F12"/>
    <mergeCell ref="E13:F13"/>
    <mergeCell ref="J13:K13"/>
    <mergeCell ref="J12:K12"/>
    <mergeCell ref="A76:L76"/>
    <mergeCell ref="J16:K16"/>
    <mergeCell ref="J14:K14"/>
    <mergeCell ref="E14:F14"/>
    <mergeCell ref="E16:F16"/>
    <mergeCell ref="E19:F19"/>
    <mergeCell ref="J15:K15"/>
    <mergeCell ref="E20:F20"/>
    <mergeCell ref="H20:I20"/>
    <mergeCell ref="E21:F21"/>
    <mergeCell ref="H21:I21"/>
    <mergeCell ref="C42:L42"/>
    <mergeCell ref="E15:F15"/>
    <mergeCell ref="C22:L22"/>
  </mergeCells>
  <pageMargins left="0.70866141732283472" right="0.70866141732283472" top="0.74803149606299213" bottom="0.74803149606299213" header="0.31496062992125984" footer="0.31496062992125984"/>
  <pageSetup paperSize="9" scale="58" fitToHeight="0" orientation="portrait" r:id="rId1"/>
  <headerFooter>
    <oddHeader>&amp;R&amp;G</oddHeader>
    <oddFooter>&amp;L&amp;8Version: 1.0&amp;C&amp;8&amp;P of &amp;N&amp;R&amp;8Revidováno: září 2023</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CE0AB-9BD7-4220-BB6D-00E5F43564C5}">
  <sheetPr codeName="Sheet12"/>
  <dimension ref="A1:O46"/>
  <sheetViews>
    <sheetView zoomScaleNormal="100" workbookViewId="0">
      <selection sqref="A1:L1"/>
    </sheetView>
  </sheetViews>
  <sheetFormatPr defaultColWidth="8.5546875" defaultRowHeight="14.4"/>
  <cols>
    <col min="1" max="2" width="2.5546875" style="4" customWidth="1"/>
    <col min="3" max="3" width="3.5546875" style="4" customWidth="1"/>
    <col min="4" max="4" width="2.5546875" style="4" customWidth="1"/>
    <col min="5" max="5" width="5.5546875" style="4" customWidth="1"/>
    <col min="6" max="6" width="14.44140625" style="4" customWidth="1"/>
    <col min="7" max="7" width="28.44140625" style="4" customWidth="1"/>
    <col min="8" max="8" width="17.5546875" style="4" customWidth="1"/>
    <col min="9" max="9" width="12.5546875" style="4" customWidth="1"/>
    <col min="10" max="10" width="13.44140625" style="4" customWidth="1"/>
    <col min="11" max="11" width="6.5546875" style="4" customWidth="1"/>
    <col min="12" max="12" width="26.5546875" style="4" customWidth="1"/>
    <col min="13" max="16384" width="8.5546875" style="4"/>
  </cols>
  <sheetData>
    <row r="1" spans="1:15" s="15" customFormat="1" ht="18">
      <c r="A1" s="198" t="s">
        <v>772</v>
      </c>
      <c r="B1" s="234"/>
      <c r="C1" s="234"/>
      <c r="D1" s="234"/>
      <c r="E1" s="234"/>
      <c r="F1" s="234"/>
      <c r="G1" s="234"/>
      <c r="H1" s="234"/>
      <c r="I1" s="234"/>
      <c r="J1" s="234"/>
      <c r="K1" s="234"/>
      <c r="L1" s="234"/>
      <c r="M1"/>
      <c r="O1"/>
    </row>
    <row r="2" spans="1:15">
      <c r="C2" s="6"/>
      <c r="D2" s="7"/>
      <c r="E2" s="7"/>
      <c r="F2" s="7"/>
    </row>
    <row r="3" spans="1:15">
      <c r="B3" s="206" t="s">
        <v>360</v>
      </c>
      <c r="C3" s="207"/>
      <c r="D3" s="207"/>
      <c r="E3" s="207"/>
      <c r="F3" s="2" t="str">
        <f>'1.0 Sample_Prep'!$E$3</f>
        <v>Zadejte</v>
      </c>
    </row>
    <row r="4" spans="1:15">
      <c r="B4" s="228" t="s">
        <v>369</v>
      </c>
      <c r="C4" s="229"/>
      <c r="D4" s="229"/>
      <c r="E4" s="230"/>
      <c r="F4" s="82"/>
    </row>
    <row r="5" spans="1:15">
      <c r="A5" s="5"/>
      <c r="B5" s="231" t="s">
        <v>370</v>
      </c>
      <c r="C5" s="232"/>
      <c r="D5" s="232"/>
      <c r="E5" s="233"/>
      <c r="F5" s="82"/>
    </row>
    <row r="6" spans="1:15">
      <c r="A6" s="5"/>
      <c r="B6" s="67" t="s">
        <v>510</v>
      </c>
      <c r="C6" s="68"/>
      <c r="D6" s="68"/>
      <c r="E6" s="68"/>
      <c r="F6" s="82"/>
    </row>
    <row r="7" spans="1:15">
      <c r="C7" s="6"/>
      <c r="D7" s="7"/>
      <c r="E7" s="7"/>
      <c r="F7" s="7"/>
    </row>
    <row r="8" spans="1:15" ht="18">
      <c r="A8" s="201" t="s">
        <v>511</v>
      </c>
      <c r="B8" s="235"/>
      <c r="C8" s="235"/>
      <c r="D8" s="235"/>
      <c r="E8" s="235"/>
      <c r="F8" s="235"/>
      <c r="G8" s="235"/>
      <c r="H8" s="235"/>
      <c r="I8" s="235"/>
      <c r="J8" s="235"/>
      <c r="K8" s="235"/>
      <c r="L8" s="235"/>
    </row>
    <row r="9" spans="1:15">
      <c r="C9" s="8"/>
    </row>
    <row r="10" spans="1:15">
      <c r="B10" s="71"/>
      <c r="C10" s="4">
        <v>1</v>
      </c>
      <c r="D10" s="16" t="s">
        <v>650</v>
      </c>
      <c r="E10" s="9"/>
    </row>
    <row r="11" spans="1:15" s="17" customFormat="1" ht="28.8">
      <c r="C11" s="18"/>
      <c r="E11" s="257" t="s">
        <v>513</v>
      </c>
      <c r="F11" s="256"/>
      <c r="G11" s="36" t="s">
        <v>514</v>
      </c>
      <c r="H11" s="37" t="s">
        <v>515</v>
      </c>
      <c r="I11" s="38" t="s">
        <v>773</v>
      </c>
      <c r="J11" s="38" t="s">
        <v>697</v>
      </c>
      <c r="K11" s="30">
        <f>'4.0 Hybridisation'!K11</f>
        <v>1</v>
      </c>
      <c r="L11" s="38" t="s">
        <v>518</v>
      </c>
    </row>
    <row r="12" spans="1:15" ht="43.2">
      <c r="B12" s="71"/>
      <c r="E12" s="241" t="s">
        <v>774</v>
      </c>
      <c r="F12" s="248"/>
      <c r="G12" s="83"/>
      <c r="H12" s="75" t="s">
        <v>699</v>
      </c>
      <c r="I12" s="19">
        <v>5</v>
      </c>
      <c r="J12" s="240">
        <f>$K$11*I12</f>
        <v>5</v>
      </c>
      <c r="K12" s="241"/>
      <c r="L12" s="19" t="s">
        <v>775</v>
      </c>
    </row>
    <row r="13" spans="1:15" ht="28.8">
      <c r="B13" s="71"/>
      <c r="E13" s="253" t="s">
        <v>776</v>
      </c>
      <c r="F13" s="248"/>
      <c r="G13" s="83"/>
      <c r="H13" s="75" t="s">
        <v>699</v>
      </c>
      <c r="I13" s="69">
        <v>20</v>
      </c>
      <c r="J13" s="240">
        <f>$K$11*I13</f>
        <v>20</v>
      </c>
      <c r="K13" s="241"/>
      <c r="L13" s="19" t="s">
        <v>777</v>
      </c>
    </row>
    <row r="14" spans="1:15">
      <c r="D14" s="9"/>
      <c r="E14" s="9"/>
      <c r="F14" s="9"/>
    </row>
    <row r="15" spans="1:15">
      <c r="B15" s="71"/>
      <c r="C15" s="4">
        <v>2</v>
      </c>
      <c r="D15" s="9" t="s">
        <v>537</v>
      </c>
      <c r="E15" s="9"/>
      <c r="F15" s="9"/>
    </row>
    <row r="16" spans="1:15">
      <c r="B16" s="71"/>
      <c r="C16" s="4">
        <v>3</v>
      </c>
      <c r="D16" s="9" t="s">
        <v>778</v>
      </c>
      <c r="E16" s="9"/>
      <c r="F16" s="9"/>
    </row>
    <row r="17" spans="1:12">
      <c r="B17" s="71"/>
      <c r="D17" s="9" t="s">
        <v>779</v>
      </c>
      <c r="E17" s="9"/>
      <c r="F17" s="9"/>
    </row>
    <row r="18" spans="1:12">
      <c r="D18" s="9"/>
      <c r="E18" s="9"/>
      <c r="F18" s="9"/>
    </row>
    <row r="19" spans="1:12" ht="18">
      <c r="A19" s="201" t="s">
        <v>780</v>
      </c>
      <c r="B19" s="235"/>
      <c r="C19" s="235"/>
      <c r="D19" s="235"/>
      <c r="E19" s="235"/>
      <c r="F19" s="235"/>
      <c r="G19" s="235"/>
      <c r="H19" s="235"/>
      <c r="I19" s="235"/>
      <c r="J19" s="235"/>
      <c r="K19" s="235"/>
      <c r="L19" s="235"/>
    </row>
    <row r="20" spans="1:12">
      <c r="C20" s="8"/>
    </row>
    <row r="21" spans="1:12">
      <c r="C21" s="8" t="s">
        <v>781</v>
      </c>
    </row>
    <row r="22" spans="1:12">
      <c r="C22" s="8"/>
    </row>
    <row r="23" spans="1:12">
      <c r="B23" s="71"/>
      <c r="C23" s="4">
        <v>1</v>
      </c>
      <c r="D23" s="9" t="s">
        <v>782</v>
      </c>
      <c r="E23" s="9"/>
      <c r="F23" s="9"/>
      <c r="H23" s="1"/>
      <c r="I23" s="66"/>
    </row>
    <row r="24" spans="1:12">
      <c r="B24" s="71"/>
      <c r="C24" s="15">
        <v>2</v>
      </c>
      <c r="D24" s="4" t="s">
        <v>783</v>
      </c>
      <c r="E24" s="9"/>
      <c r="F24" s="9"/>
      <c r="H24" s="1"/>
      <c r="I24" s="1"/>
    </row>
    <row r="25" spans="1:12">
      <c r="B25" s="71"/>
      <c r="C25" s="15">
        <v>3</v>
      </c>
      <c r="D25" s="4" t="s">
        <v>784</v>
      </c>
      <c r="E25" s="9"/>
      <c r="F25" s="9"/>
      <c r="H25" s="1"/>
      <c r="I25" s="1"/>
    </row>
    <row r="26" spans="1:12">
      <c r="B26" s="71"/>
      <c r="C26" s="15">
        <v>4</v>
      </c>
      <c r="D26" s="9" t="s">
        <v>676</v>
      </c>
      <c r="E26" s="9"/>
      <c r="F26" s="9"/>
    </row>
    <row r="27" spans="1:12">
      <c r="B27" s="71"/>
      <c r="C27" s="15">
        <v>5</v>
      </c>
      <c r="D27" s="9" t="s">
        <v>785</v>
      </c>
      <c r="E27" s="9"/>
      <c r="F27" s="9"/>
    </row>
    <row r="28" spans="1:12">
      <c r="B28" s="71"/>
      <c r="C28" s="15"/>
      <c r="D28" s="9"/>
      <c r="E28" s="242" t="s">
        <v>558</v>
      </c>
      <c r="F28" s="243"/>
      <c r="G28" s="71"/>
    </row>
    <row r="29" spans="1:12">
      <c r="B29" s="71"/>
      <c r="C29" s="15"/>
      <c r="D29" s="9"/>
      <c r="E29" s="242" t="s">
        <v>559</v>
      </c>
      <c r="F29" s="243"/>
      <c r="G29" s="71"/>
    </row>
    <row r="30" spans="1:12">
      <c r="C30" s="15"/>
      <c r="D30" s="9" t="s">
        <v>786</v>
      </c>
      <c r="E30" s="1"/>
      <c r="F30" s="66"/>
    </row>
    <row r="31" spans="1:12">
      <c r="C31" s="15"/>
      <c r="D31" s="9"/>
      <c r="E31" s="7" t="s">
        <v>561</v>
      </c>
      <c r="F31" s="7"/>
    </row>
    <row r="32" spans="1:12" ht="15" thickBot="1">
      <c r="C32" s="15"/>
      <c r="D32" s="9"/>
      <c r="E32" s="76" t="s">
        <v>562</v>
      </c>
      <c r="F32" s="7"/>
    </row>
    <row r="33" spans="1:12">
      <c r="D33" s="9"/>
      <c r="E33" s="54" t="s">
        <v>612</v>
      </c>
      <c r="F33" s="55" t="s">
        <v>613</v>
      </c>
      <c r="G33" s="113" t="s">
        <v>563</v>
      </c>
      <c r="H33" s="113" t="s">
        <v>564</v>
      </c>
      <c r="I33" s="112" t="s">
        <v>614</v>
      </c>
    </row>
    <row r="34" spans="1:12" ht="15" thickBot="1">
      <c r="D34" s="9"/>
      <c r="E34" s="59">
        <v>1</v>
      </c>
      <c r="F34" s="39" t="s">
        <v>620</v>
      </c>
      <c r="G34" s="40" t="s">
        <v>619</v>
      </c>
      <c r="H34" s="41" t="s">
        <v>624</v>
      </c>
      <c r="I34" s="60">
        <v>1</v>
      </c>
    </row>
    <row r="35" spans="1:12">
      <c r="D35" s="9"/>
      <c r="E35" s="45">
        <v>2</v>
      </c>
      <c r="F35" s="46" t="s">
        <v>620</v>
      </c>
      <c r="G35" s="47" t="s">
        <v>619</v>
      </c>
      <c r="H35" s="48" t="s">
        <v>720</v>
      </c>
      <c r="I35" s="293">
        <v>17</v>
      </c>
    </row>
    <row r="36" spans="1:12">
      <c r="D36" s="9"/>
      <c r="E36" s="49">
        <v>3</v>
      </c>
      <c r="F36" s="27" t="s">
        <v>622</v>
      </c>
      <c r="G36" s="28" t="s">
        <v>623</v>
      </c>
      <c r="H36" s="2" t="s">
        <v>624</v>
      </c>
      <c r="I36" s="294"/>
    </row>
    <row r="37" spans="1:12" ht="15" thickBot="1">
      <c r="D37" s="9"/>
      <c r="E37" s="50">
        <v>4</v>
      </c>
      <c r="F37" s="51" t="s">
        <v>625</v>
      </c>
      <c r="G37" s="52" t="s">
        <v>616</v>
      </c>
      <c r="H37" s="53" t="s">
        <v>617</v>
      </c>
      <c r="I37" s="295"/>
    </row>
    <row r="38" spans="1:12">
      <c r="D38" s="9"/>
      <c r="E38" s="61">
        <v>5</v>
      </c>
      <c r="F38" s="42" t="s">
        <v>626</v>
      </c>
      <c r="G38" s="43" t="s">
        <v>616</v>
      </c>
      <c r="H38" s="44" t="s">
        <v>566</v>
      </c>
      <c r="I38" s="62">
        <v>1</v>
      </c>
    </row>
    <row r="39" spans="1:12" ht="58.2" thickBot="1">
      <c r="D39" s="9"/>
      <c r="E39" s="50">
        <v>6</v>
      </c>
      <c r="F39" s="192" t="s">
        <v>787</v>
      </c>
      <c r="G39" s="52" t="s">
        <v>567</v>
      </c>
      <c r="H39" s="195" t="s">
        <v>788</v>
      </c>
      <c r="I39" s="63">
        <v>1</v>
      </c>
    </row>
    <row r="40" spans="1:12">
      <c r="B40"/>
      <c r="C40" s="15"/>
      <c r="D40" s="9"/>
      <c r="E40" s="9"/>
      <c r="F40" s="9"/>
    </row>
    <row r="41" spans="1:12" s="20" customFormat="1">
      <c r="C41" s="8" t="s">
        <v>629</v>
      </c>
      <c r="D41" s="4"/>
      <c r="E41" s="4"/>
      <c r="F41" s="4"/>
    </row>
    <row r="42" spans="1:12" s="20" customFormat="1">
      <c r="C42" s="8" t="s">
        <v>789</v>
      </c>
    </row>
    <row r="43" spans="1:12">
      <c r="C43" s="9"/>
      <c r="E43" s="9"/>
      <c r="F43" s="9"/>
    </row>
    <row r="44" spans="1:12">
      <c r="B44" s="67" t="s">
        <v>631</v>
      </c>
      <c r="C44" s="68"/>
      <c r="D44" s="68"/>
      <c r="E44" s="68"/>
      <c r="F44" s="71"/>
    </row>
    <row r="45" spans="1:12">
      <c r="D45" s="9"/>
      <c r="E45" s="9"/>
      <c r="F45" s="9"/>
    </row>
    <row r="46" spans="1:12" ht="18">
      <c r="A46" s="201" t="s">
        <v>790</v>
      </c>
      <c r="B46" s="235"/>
      <c r="C46" s="235"/>
      <c r="D46" s="235"/>
      <c r="E46" s="235"/>
      <c r="F46" s="235"/>
      <c r="G46" s="235"/>
      <c r="H46" s="235"/>
      <c r="I46" s="235"/>
      <c r="J46" s="235"/>
      <c r="K46" s="235"/>
      <c r="L46" s="235"/>
    </row>
  </sheetData>
  <sheetProtection algorithmName="SHA-512" hashValue="ZtPZe53sEySGcnIz7hcd0ZVNw8ma3BzPAHS5tvVtJiUz2VqJkbms0BKEbqhjv7pBO4FczayOYxzqpgJowd4Rxw==" saltValue="9loXsb4KNxJpVZShWZW6vQ==" spinCount="100000" sheet="1" objects="1" scenarios="1"/>
  <mergeCells count="15">
    <mergeCell ref="E11:F11"/>
    <mergeCell ref="A19:L19"/>
    <mergeCell ref="A46:L46"/>
    <mergeCell ref="A1:L1"/>
    <mergeCell ref="B3:E3"/>
    <mergeCell ref="B4:E4"/>
    <mergeCell ref="B5:E5"/>
    <mergeCell ref="A8:L8"/>
    <mergeCell ref="E28:F28"/>
    <mergeCell ref="E29:F29"/>
    <mergeCell ref="I35:I37"/>
    <mergeCell ref="E12:F12"/>
    <mergeCell ref="J12:K12"/>
    <mergeCell ref="E13:F13"/>
    <mergeCell ref="J13:K13"/>
  </mergeCells>
  <pageMargins left="0.70866141732283472" right="0.70866141732283472" top="0.74803149606299213" bottom="0.74803149606299213" header="0.31496062992125984" footer="0.31496062992125984"/>
  <pageSetup paperSize="9" scale="60" fitToHeight="0" orientation="portrait" r:id="rId1"/>
  <headerFooter>
    <oddHeader>&amp;R&amp;G</oddHeader>
    <oddFooter>&amp;L&amp;8Version: 1.0&amp;C&amp;8&amp;P of &amp;N&amp;R&amp;8Revidováno: září 2023</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921FA-9A40-45A4-9D84-9399CAE95B29}">
  <sheetPr codeName="Sheet13"/>
  <dimension ref="A1:O56"/>
  <sheetViews>
    <sheetView zoomScaleNormal="100" workbookViewId="0">
      <selection sqref="A1:L1"/>
    </sheetView>
  </sheetViews>
  <sheetFormatPr defaultColWidth="8.5546875" defaultRowHeight="14.4"/>
  <cols>
    <col min="1" max="2" width="2.5546875" style="4" customWidth="1"/>
    <col min="3" max="3" width="3.5546875" style="4" customWidth="1"/>
    <col min="4" max="4" width="2.5546875" style="4" customWidth="1"/>
    <col min="5" max="5" width="5.5546875" style="4" customWidth="1"/>
    <col min="6" max="6" width="15" style="4" customWidth="1"/>
    <col min="7" max="7" width="28.5546875" style="4" customWidth="1"/>
    <col min="8" max="8" width="17.5546875" style="4" customWidth="1"/>
    <col min="9" max="9" width="12.5546875" style="4" customWidth="1"/>
    <col min="10" max="10" width="13.44140625" style="4" customWidth="1"/>
    <col min="11" max="11" width="6.5546875" style="4" customWidth="1"/>
    <col min="12" max="12" width="26.5546875" style="4" customWidth="1"/>
    <col min="13" max="16384" width="8.5546875" style="4"/>
  </cols>
  <sheetData>
    <row r="1" spans="1:15" s="15" customFormat="1" ht="18">
      <c r="A1" s="198" t="s">
        <v>791</v>
      </c>
      <c r="B1" s="234"/>
      <c r="C1" s="234"/>
      <c r="D1" s="234"/>
      <c r="E1" s="234"/>
      <c r="F1" s="234"/>
      <c r="G1" s="234"/>
      <c r="H1" s="234"/>
      <c r="I1" s="234"/>
      <c r="J1" s="234"/>
      <c r="K1" s="234"/>
      <c r="L1" s="234"/>
      <c r="M1"/>
      <c r="O1"/>
    </row>
    <row r="2" spans="1:15">
      <c r="C2" s="6"/>
      <c r="D2" s="7"/>
      <c r="E2" s="7"/>
      <c r="F2" s="7"/>
    </row>
    <row r="3" spans="1:15">
      <c r="B3" s="206" t="s">
        <v>360</v>
      </c>
      <c r="C3" s="207"/>
      <c r="D3" s="207"/>
      <c r="E3" s="207"/>
      <c r="F3" s="2" t="str">
        <f>'1.0 Sample_Prep'!$E$3</f>
        <v>Zadejte</v>
      </c>
    </row>
    <row r="4" spans="1:15">
      <c r="B4" s="228" t="s">
        <v>369</v>
      </c>
      <c r="C4" s="229"/>
      <c r="D4" s="229"/>
      <c r="E4" s="230"/>
      <c r="F4" s="82"/>
    </row>
    <row r="5" spans="1:15">
      <c r="A5" s="5"/>
      <c r="B5" s="231" t="s">
        <v>370</v>
      </c>
      <c r="C5" s="232"/>
      <c r="D5" s="232"/>
      <c r="E5" s="233"/>
      <c r="F5" s="82"/>
    </row>
    <row r="6" spans="1:15">
      <c r="A6" s="5"/>
      <c r="B6" s="67" t="s">
        <v>510</v>
      </c>
      <c r="C6" s="68"/>
      <c r="D6" s="68"/>
      <c r="E6" s="68"/>
      <c r="F6" s="82"/>
    </row>
    <row r="7" spans="1:15">
      <c r="C7" s="6"/>
      <c r="D7" s="7"/>
      <c r="E7" s="7"/>
      <c r="F7" s="7"/>
    </row>
    <row r="8" spans="1:15" ht="18">
      <c r="A8" s="201" t="s">
        <v>511</v>
      </c>
      <c r="B8" s="235"/>
      <c r="C8" s="235"/>
      <c r="D8" s="235"/>
      <c r="E8" s="235"/>
      <c r="F8" s="235"/>
      <c r="G8" s="235"/>
      <c r="H8" s="235"/>
      <c r="I8" s="235"/>
      <c r="J8" s="235"/>
      <c r="K8" s="235"/>
      <c r="L8" s="235"/>
    </row>
    <row r="9" spans="1:15">
      <c r="C9" s="8"/>
    </row>
    <row r="10" spans="1:15">
      <c r="B10" s="71"/>
      <c r="C10" s="4">
        <v>1</v>
      </c>
      <c r="D10" s="16" t="s">
        <v>650</v>
      </c>
      <c r="E10" s="9"/>
    </row>
    <row r="11" spans="1:15" s="17" customFormat="1" ht="28.8">
      <c r="C11" s="18"/>
      <c r="E11" s="257" t="s">
        <v>513</v>
      </c>
      <c r="F11" s="256"/>
      <c r="G11" s="36" t="s">
        <v>514</v>
      </c>
      <c r="H11" s="37" t="s">
        <v>515</v>
      </c>
      <c r="I11" s="38" t="s">
        <v>710</v>
      </c>
      <c r="J11" s="38" t="s">
        <v>697</v>
      </c>
      <c r="K11" s="30">
        <f>'4.0 Hybridisation'!K11</f>
        <v>1</v>
      </c>
      <c r="L11" s="38" t="s">
        <v>518</v>
      </c>
    </row>
    <row r="12" spans="1:15" ht="43.8" customHeight="1">
      <c r="B12" s="71"/>
      <c r="E12" s="253" t="s">
        <v>792</v>
      </c>
      <c r="F12" s="248"/>
      <c r="G12" s="83"/>
      <c r="H12" s="75" t="s">
        <v>654</v>
      </c>
      <c r="I12" s="69">
        <v>27</v>
      </c>
      <c r="J12" s="240">
        <f>$K$11*I12</f>
        <v>27</v>
      </c>
      <c r="K12" s="241"/>
      <c r="L12" s="65" t="s">
        <v>793</v>
      </c>
    </row>
    <row r="13" spans="1:15" ht="27.75" customHeight="1">
      <c r="B13" s="71"/>
      <c r="E13" s="241" t="s">
        <v>547</v>
      </c>
      <c r="F13" s="248"/>
      <c r="G13" s="83"/>
      <c r="H13" s="75" t="s">
        <v>794</v>
      </c>
      <c r="I13" s="69">
        <v>80</v>
      </c>
      <c r="J13" s="240">
        <f>H20</f>
        <v>120</v>
      </c>
      <c r="K13" s="241"/>
      <c r="L13" s="19" t="s">
        <v>524</v>
      </c>
    </row>
    <row r="14" spans="1:15" ht="27.75" customHeight="1">
      <c r="B14" s="71"/>
      <c r="E14" s="241" t="s">
        <v>658</v>
      </c>
      <c r="F14" s="248"/>
      <c r="G14" s="83"/>
      <c r="H14" s="75" t="s">
        <v>794</v>
      </c>
      <c r="I14" s="69">
        <v>320</v>
      </c>
      <c r="J14" s="240">
        <f>H19</f>
        <v>480</v>
      </c>
      <c r="K14" s="241"/>
      <c r="L14" s="19" t="s">
        <v>659</v>
      </c>
    </row>
    <row r="15" spans="1:15" ht="43.2">
      <c r="B15" s="71"/>
      <c r="E15" s="241" t="s">
        <v>660</v>
      </c>
      <c r="F15" s="248"/>
      <c r="G15" s="83"/>
      <c r="H15" s="75" t="s">
        <v>654</v>
      </c>
      <c r="I15" s="69">
        <v>32</v>
      </c>
      <c r="J15" s="240">
        <f>$K$11*I15</f>
        <v>32</v>
      </c>
      <c r="K15" s="241"/>
      <c r="L15" s="19" t="s">
        <v>795</v>
      </c>
    </row>
    <row r="16" spans="1:15">
      <c r="C16" s="8"/>
    </row>
    <row r="17" spans="1:12">
      <c r="B17" s="71"/>
      <c r="C17" s="4">
        <v>2</v>
      </c>
      <c r="D17" s="9" t="s">
        <v>796</v>
      </c>
      <c r="E17" s="9"/>
      <c r="F17" s="9"/>
    </row>
    <row r="18" spans="1:12" ht="57.6">
      <c r="D18" s="9"/>
      <c r="E18" s="255" t="s">
        <v>513</v>
      </c>
      <c r="F18" s="265"/>
      <c r="G18" s="38" t="s">
        <v>710</v>
      </c>
      <c r="H18" s="38" t="s">
        <v>797</v>
      </c>
      <c r="I18" s="33">
        <f>K11</f>
        <v>1</v>
      </c>
    </row>
    <row r="19" spans="1:12">
      <c r="B19" s="71"/>
      <c r="C19" s="9"/>
      <c r="D19" s="9"/>
      <c r="E19" s="247" t="s">
        <v>658</v>
      </c>
      <c r="F19" s="266"/>
      <c r="G19" s="2">
        <v>320</v>
      </c>
      <c r="H19" s="239">
        <f>$I$18*G19*1.5</f>
        <v>480</v>
      </c>
      <c r="I19" s="227"/>
    </row>
    <row r="20" spans="1:12">
      <c r="B20" s="71"/>
      <c r="C20" s="9"/>
      <c r="D20" s="9"/>
      <c r="E20" s="247" t="s">
        <v>547</v>
      </c>
      <c r="F20" s="266"/>
      <c r="G20" s="2">
        <v>80</v>
      </c>
      <c r="H20" s="239">
        <f>$I$18*G20*1.5</f>
        <v>120</v>
      </c>
      <c r="I20" s="227"/>
    </row>
    <row r="21" spans="1:12">
      <c r="C21"/>
      <c r="D21" s="9"/>
      <c r="E21" s="249" t="s">
        <v>548</v>
      </c>
      <c r="F21" s="268"/>
      <c r="G21" s="64">
        <f>SUM(G19:G20)</f>
        <v>400</v>
      </c>
      <c r="H21" s="251">
        <f>SUM(H19:I20)</f>
        <v>600</v>
      </c>
      <c r="I21" s="252"/>
    </row>
    <row r="22" spans="1:12">
      <c r="D22" s="9"/>
      <c r="E22" s="9"/>
      <c r="F22" s="9"/>
    </row>
    <row r="23" spans="1:12">
      <c r="B23" s="71"/>
      <c r="C23" s="4">
        <v>3</v>
      </c>
      <c r="D23" s="9" t="s">
        <v>537</v>
      </c>
      <c r="E23" s="9"/>
      <c r="F23" s="9"/>
    </row>
    <row r="24" spans="1:12">
      <c r="B24" s="71"/>
      <c r="C24" s="4">
        <v>4</v>
      </c>
      <c r="D24" s="9" t="s">
        <v>538</v>
      </c>
      <c r="E24" s="9"/>
      <c r="F24" s="9"/>
    </row>
    <row r="25" spans="1:12">
      <c r="B25" s="71"/>
      <c r="D25" s="9" t="s">
        <v>798</v>
      </c>
      <c r="E25" s="9"/>
      <c r="F25" s="9"/>
    </row>
    <row r="26" spans="1:12">
      <c r="D26" s="9"/>
      <c r="E26" s="9"/>
      <c r="F26" s="9"/>
    </row>
    <row r="27" spans="1:12" ht="18">
      <c r="A27" s="201" t="s">
        <v>799</v>
      </c>
      <c r="B27" s="235"/>
      <c r="C27" s="235"/>
      <c r="D27" s="235"/>
      <c r="E27" s="235"/>
      <c r="F27" s="235"/>
      <c r="G27" s="235"/>
      <c r="H27" s="235"/>
      <c r="I27" s="235"/>
      <c r="J27" s="235"/>
      <c r="K27" s="235"/>
      <c r="L27" s="235"/>
    </row>
    <row r="28" spans="1:12">
      <c r="C28" s="8"/>
    </row>
    <row r="29" spans="1:12">
      <c r="C29" s="8" t="s">
        <v>800</v>
      </c>
    </row>
    <row r="30" spans="1:12">
      <c r="C30" s="8"/>
    </row>
    <row r="31" spans="1:12">
      <c r="B31" s="71"/>
      <c r="C31" s="4">
        <v>1</v>
      </c>
      <c r="D31" s="9" t="s">
        <v>801</v>
      </c>
      <c r="E31" s="9"/>
      <c r="F31" s="9"/>
    </row>
    <row r="32" spans="1:12">
      <c r="B32" s="71"/>
      <c r="C32" s="4">
        <v>2</v>
      </c>
      <c r="D32" s="16" t="s">
        <v>802</v>
      </c>
    </row>
    <row r="33" spans="2:10">
      <c r="B33" s="71"/>
      <c r="C33" s="15">
        <v>3</v>
      </c>
      <c r="D33" s="9" t="s">
        <v>803</v>
      </c>
      <c r="J33" s="9"/>
    </row>
    <row r="34" spans="2:10">
      <c r="B34" s="71"/>
      <c r="C34" s="15">
        <v>4</v>
      </c>
      <c r="D34" s="9" t="s">
        <v>676</v>
      </c>
      <c r="J34" s="9"/>
    </row>
    <row r="35" spans="2:10">
      <c r="B35" s="71"/>
      <c r="C35" s="15">
        <v>5</v>
      </c>
      <c r="D35" s="4" t="s">
        <v>690</v>
      </c>
      <c r="J35" s="9"/>
    </row>
    <row r="36" spans="2:10">
      <c r="B36" s="71"/>
      <c r="C36" s="15">
        <v>6</v>
      </c>
      <c r="D36" s="9" t="s">
        <v>766</v>
      </c>
    </row>
    <row r="37" spans="2:10">
      <c r="B37" s="71"/>
      <c r="C37" s="15">
        <v>7</v>
      </c>
      <c r="D37" s="9" t="s">
        <v>748</v>
      </c>
    </row>
    <row r="38" spans="2:10">
      <c r="B38" s="71"/>
      <c r="C38" s="15">
        <v>8</v>
      </c>
      <c r="D38" s="4" t="s">
        <v>682</v>
      </c>
    </row>
    <row r="39" spans="2:10">
      <c r="B39" s="84"/>
      <c r="C39" s="84"/>
      <c r="D39" s="32" t="s">
        <v>555</v>
      </c>
      <c r="E39" s="4" t="s">
        <v>804</v>
      </c>
    </row>
    <row r="40" spans="2:10">
      <c r="B40" s="71"/>
      <c r="C40" s="71"/>
      <c r="D40" s="32" t="s">
        <v>556</v>
      </c>
      <c r="E40" s="4" t="s">
        <v>684</v>
      </c>
    </row>
    <row r="41" spans="2:10">
      <c r="B41" s="71"/>
      <c r="C41" s="71"/>
      <c r="D41" s="32" t="s">
        <v>579</v>
      </c>
      <c r="E41" s="4" t="s">
        <v>685</v>
      </c>
    </row>
    <row r="42" spans="2:10">
      <c r="B42" s="71"/>
      <c r="C42" s="9"/>
      <c r="D42" s="32" t="s">
        <v>581</v>
      </c>
      <c r="E42" s="4" t="str">
        <f>"Opakujte kroky  "&amp;D39&amp;" až "&amp;D41&amp;" ještě jednou (celkem jsou třeba 2 promytí)."</f>
        <v>Opakujte kroky  a) až c) ještě jednou (celkem jsou třeba 2 promytí).</v>
      </c>
    </row>
    <row r="43" spans="2:10">
      <c r="B43" s="71"/>
      <c r="C43" s="15">
        <v>9</v>
      </c>
      <c r="D43" s="4" t="s">
        <v>686</v>
      </c>
    </row>
    <row r="44" spans="2:10">
      <c r="B44" s="86"/>
      <c r="C44" s="15">
        <v>10</v>
      </c>
      <c r="D44" s="4" t="s">
        <v>805</v>
      </c>
    </row>
    <row r="45" spans="2:10">
      <c r="B45" s="71"/>
      <c r="C45" s="15">
        <v>11</v>
      </c>
      <c r="D45" s="4" t="s">
        <v>806</v>
      </c>
    </row>
    <row r="46" spans="2:10">
      <c r="B46" s="71"/>
      <c r="C46" s="15">
        <v>12</v>
      </c>
      <c r="D46" s="9" t="s">
        <v>807</v>
      </c>
    </row>
    <row r="47" spans="2:10">
      <c r="B47" s="71"/>
      <c r="C47" s="15">
        <v>13</v>
      </c>
      <c r="D47" s="4" t="s">
        <v>690</v>
      </c>
    </row>
    <row r="48" spans="2:10">
      <c r="B48" s="71"/>
      <c r="C48" s="15">
        <v>14</v>
      </c>
      <c r="D48" s="9" t="s">
        <v>676</v>
      </c>
    </row>
    <row r="49" spans="1:12">
      <c r="B49" s="71"/>
      <c r="C49" s="15">
        <v>15</v>
      </c>
      <c r="D49" s="4" t="s">
        <v>747</v>
      </c>
    </row>
    <row r="50" spans="1:12">
      <c r="B50" s="71"/>
      <c r="C50" s="15">
        <v>16</v>
      </c>
      <c r="D50" s="15" t="s">
        <v>808</v>
      </c>
    </row>
    <row r="51" spans="1:12">
      <c r="B51"/>
      <c r="C51" s="15"/>
      <c r="D51" s="9"/>
      <c r="E51" s="9"/>
      <c r="F51" s="9"/>
    </row>
    <row r="52" spans="1:12" s="20" customFormat="1">
      <c r="C52" s="8" t="s">
        <v>693</v>
      </c>
      <c r="D52" s="4"/>
      <c r="E52" s="4"/>
      <c r="F52" s="4"/>
    </row>
    <row r="53" spans="1:12">
      <c r="C53" s="9"/>
      <c r="E53" s="9"/>
      <c r="F53" s="9"/>
    </row>
    <row r="54" spans="1:12">
      <c r="B54" s="67" t="s">
        <v>631</v>
      </c>
      <c r="C54" s="68"/>
      <c r="D54" s="68"/>
      <c r="E54" s="68"/>
      <c r="F54" s="71"/>
    </row>
    <row r="55" spans="1:12">
      <c r="D55" s="9"/>
      <c r="E55" s="9"/>
      <c r="F55" s="9"/>
    </row>
    <row r="56" spans="1:12" ht="18">
      <c r="A56" s="201" t="s">
        <v>809</v>
      </c>
      <c r="B56" s="235"/>
      <c r="C56" s="235"/>
      <c r="D56" s="235"/>
      <c r="E56" s="235"/>
      <c r="F56" s="235"/>
      <c r="G56" s="235"/>
      <c r="H56" s="235"/>
      <c r="I56" s="235"/>
      <c r="J56" s="235"/>
      <c r="K56" s="235"/>
      <c r="L56" s="235"/>
    </row>
  </sheetData>
  <sheetProtection algorithmName="SHA-512" hashValue="Qu5L03uZfbH/6BkKtdlT/XriWct2DlxQjNxW/Bu3Px7F8wYBJdpbgZKsyhxqYlt5vCnLLMkBXn9QgxKhsCDr1A==" saltValue="TsUYmcTR/yVHCpTyTndk9A==" spinCount="100000" sheet="1" objects="1" scenarios="1"/>
  <mergeCells count="23">
    <mergeCell ref="H20:I20"/>
    <mergeCell ref="J12:K12"/>
    <mergeCell ref="J13:K13"/>
    <mergeCell ref="J14:K14"/>
    <mergeCell ref="E12:F12"/>
    <mergeCell ref="E13:F13"/>
    <mergeCell ref="E14:F14"/>
    <mergeCell ref="E11:F11"/>
    <mergeCell ref="A27:L27"/>
    <mergeCell ref="A56:L56"/>
    <mergeCell ref="A1:L1"/>
    <mergeCell ref="B3:E3"/>
    <mergeCell ref="B4:E4"/>
    <mergeCell ref="B5:E5"/>
    <mergeCell ref="A8:L8"/>
    <mergeCell ref="E21:F21"/>
    <mergeCell ref="E18:F18"/>
    <mergeCell ref="E19:F19"/>
    <mergeCell ref="E20:F20"/>
    <mergeCell ref="J15:K15"/>
    <mergeCell ref="E15:F15"/>
    <mergeCell ref="H21:I21"/>
    <mergeCell ref="H19:I19"/>
  </mergeCells>
  <pageMargins left="0.70866141732283472" right="0.70866141732283472" top="0.74803149606299213" bottom="0.74803149606299213" header="0.31496062992125984" footer="0.31496062992125984"/>
  <pageSetup paperSize="9" scale="60" fitToHeight="0" orientation="portrait" r:id="rId1"/>
  <headerFooter>
    <oddHeader>&amp;R&amp;G</oddHeader>
    <oddFooter>&amp;L&amp;8Version: 1.0&amp;C&amp;8&amp;P of &amp;N&amp;R&amp;8Revidováno: září 2023</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C39F9-3CFA-4ACF-B7FB-91384F1D2F18}">
  <sheetPr codeName="Sheet14"/>
  <dimension ref="A1:O55"/>
  <sheetViews>
    <sheetView zoomScaleNormal="100" workbookViewId="0">
      <selection sqref="A1:L1"/>
    </sheetView>
  </sheetViews>
  <sheetFormatPr defaultColWidth="9.44140625" defaultRowHeight="14.4"/>
  <cols>
    <col min="1" max="2" width="2.5546875" style="4" customWidth="1"/>
    <col min="3" max="3" width="3.5546875" style="4" customWidth="1"/>
    <col min="4" max="4" width="2.5546875" style="4" customWidth="1"/>
    <col min="5" max="5" width="6.44140625" style="4" customWidth="1"/>
    <col min="6" max="6" width="14.44140625" style="4" customWidth="1"/>
    <col min="7" max="7" width="28.44140625" style="4" customWidth="1"/>
    <col min="8" max="9" width="14.5546875" style="4" customWidth="1"/>
    <col min="10" max="10" width="13.44140625" style="4" customWidth="1"/>
    <col min="11" max="11" width="6.5546875" style="4" customWidth="1"/>
    <col min="12" max="12" width="26.5546875" style="4" customWidth="1"/>
    <col min="13" max="16384" width="9.44140625" style="4"/>
  </cols>
  <sheetData>
    <row r="1" spans="1:15" s="15" customFormat="1" ht="18">
      <c r="A1" s="198" t="s">
        <v>810</v>
      </c>
      <c r="B1" s="234"/>
      <c r="C1" s="234"/>
      <c r="D1" s="234"/>
      <c r="E1" s="234"/>
      <c r="F1" s="234"/>
      <c r="G1" s="234"/>
      <c r="H1" s="234"/>
      <c r="I1" s="234"/>
      <c r="J1" s="234"/>
      <c r="K1" s="234"/>
      <c r="L1" s="234"/>
      <c r="M1"/>
      <c r="O1"/>
    </row>
    <row r="2" spans="1:15">
      <c r="C2" s="6"/>
      <c r="D2" s="7"/>
      <c r="E2" s="7"/>
      <c r="F2" s="7"/>
    </row>
    <row r="3" spans="1:15">
      <c r="B3" s="206" t="s">
        <v>360</v>
      </c>
      <c r="C3" s="207"/>
      <c r="D3" s="207"/>
      <c r="E3" s="207"/>
      <c r="F3" s="2" t="str">
        <f>'1.0 Sample_Prep'!$E$3</f>
        <v>Zadejte</v>
      </c>
    </row>
    <row r="4" spans="1:15">
      <c r="B4" s="228" t="s">
        <v>369</v>
      </c>
      <c r="C4" s="229"/>
      <c r="D4" s="229"/>
      <c r="E4" s="230"/>
      <c r="F4" s="82"/>
    </row>
    <row r="5" spans="1:15">
      <c r="A5" s="5"/>
      <c r="B5" s="231" t="s">
        <v>370</v>
      </c>
      <c r="C5" s="232"/>
      <c r="D5" s="232"/>
      <c r="E5" s="233"/>
      <c r="F5" s="82"/>
    </row>
    <row r="6" spans="1:15">
      <c r="A6" s="5"/>
      <c r="B6" s="67" t="s">
        <v>510</v>
      </c>
      <c r="C6" s="68"/>
      <c r="D6" s="68"/>
      <c r="E6" s="68"/>
      <c r="F6" s="82"/>
    </row>
    <row r="7" spans="1:15">
      <c r="C7" s="6"/>
      <c r="D7" s="7"/>
      <c r="E7" s="7"/>
      <c r="F7" s="7"/>
    </row>
    <row r="8" spans="1:15" ht="18">
      <c r="A8" s="201" t="s">
        <v>511</v>
      </c>
      <c r="B8" s="235"/>
      <c r="C8" s="235"/>
      <c r="D8" s="235"/>
      <c r="E8" s="235"/>
      <c r="F8" s="235"/>
      <c r="G8" s="235"/>
      <c r="H8" s="235"/>
      <c r="I8" s="235"/>
      <c r="J8" s="235"/>
      <c r="K8" s="235"/>
      <c r="L8" s="235"/>
    </row>
    <row r="9" spans="1:15">
      <c r="C9" s="8"/>
    </row>
    <row r="10" spans="1:15">
      <c r="B10" s="71"/>
      <c r="C10" s="4">
        <v>1</v>
      </c>
      <c r="D10" s="16" t="s">
        <v>650</v>
      </c>
      <c r="E10" s="9"/>
    </row>
    <row r="11" spans="1:15" s="17" customFormat="1" ht="28.8">
      <c r="C11" s="18"/>
      <c r="E11" s="257" t="s">
        <v>513</v>
      </c>
      <c r="F11" s="256"/>
      <c r="G11" s="36" t="s">
        <v>514</v>
      </c>
      <c r="H11" s="37" t="s">
        <v>515</v>
      </c>
      <c r="I11" s="38" t="s">
        <v>710</v>
      </c>
      <c r="J11" s="38" t="s">
        <v>697</v>
      </c>
      <c r="K11" s="134">
        <f>'4.0 Hybridisation'!K11</f>
        <v>1</v>
      </c>
      <c r="L11" s="38" t="s">
        <v>518</v>
      </c>
    </row>
    <row r="12" spans="1:15" ht="47.25" customHeight="1">
      <c r="B12" s="71"/>
      <c r="D12" s="16"/>
      <c r="E12" s="241" t="s">
        <v>811</v>
      </c>
      <c r="F12" s="248"/>
      <c r="G12" s="87"/>
      <c r="H12" s="75" t="s">
        <v>812</v>
      </c>
      <c r="I12" s="19">
        <v>199</v>
      </c>
      <c r="J12" s="296">
        <f>(($K$11+3)*I12)</f>
        <v>796</v>
      </c>
      <c r="K12" s="297"/>
      <c r="L12" s="19" t="s">
        <v>524</v>
      </c>
    </row>
    <row r="13" spans="1:15" ht="42" customHeight="1">
      <c r="B13" s="71"/>
      <c r="D13" s="16"/>
      <c r="E13" s="241" t="s">
        <v>813</v>
      </c>
      <c r="F13" s="248"/>
      <c r="G13" s="87"/>
      <c r="H13" s="75" t="s">
        <v>812</v>
      </c>
      <c r="I13" s="19">
        <v>1</v>
      </c>
      <c r="J13" s="296">
        <f>(($K$11+3)*I13)</f>
        <v>4</v>
      </c>
      <c r="K13" s="297"/>
      <c r="L13" s="19" t="s">
        <v>524</v>
      </c>
    </row>
    <row r="14" spans="1:15" ht="43.5" customHeight="1">
      <c r="B14" s="71"/>
      <c r="D14" s="16"/>
      <c r="E14" s="241" t="s">
        <v>814</v>
      </c>
      <c r="F14" s="248"/>
      <c r="G14" s="83"/>
      <c r="H14" s="75" t="s">
        <v>815</v>
      </c>
      <c r="I14" s="69">
        <v>10</v>
      </c>
      <c r="J14" s="298">
        <v>10</v>
      </c>
      <c r="K14" s="297"/>
      <c r="L14" s="19" t="s">
        <v>816</v>
      </c>
    </row>
    <row r="15" spans="1:15" ht="44.25" customHeight="1">
      <c r="B15" s="71"/>
      <c r="D15" s="16"/>
      <c r="E15" s="241" t="s">
        <v>817</v>
      </c>
      <c r="F15" s="248"/>
      <c r="G15" s="83"/>
      <c r="H15" s="75" t="s">
        <v>815</v>
      </c>
      <c r="I15" s="69">
        <v>10</v>
      </c>
      <c r="J15" s="298">
        <v>10</v>
      </c>
      <c r="K15" s="297"/>
      <c r="L15" s="19" t="s">
        <v>818</v>
      </c>
    </row>
    <row r="16" spans="1:15">
      <c r="C16" s="8" t="s">
        <v>819</v>
      </c>
    </row>
    <row r="18" spans="1:12">
      <c r="B18" s="71"/>
      <c r="C18" s="4">
        <v>2</v>
      </c>
      <c r="D18" s="9" t="s">
        <v>538</v>
      </c>
      <c r="E18" s="9"/>
      <c r="F18" s="9"/>
    </row>
    <row r="19" spans="1:12">
      <c r="B19" s="71"/>
      <c r="D19" s="4" t="s">
        <v>820</v>
      </c>
      <c r="E19" s="9"/>
      <c r="F19" s="9"/>
    </row>
    <row r="20" spans="1:12">
      <c r="B20" s="71"/>
      <c r="D20" s="15" t="s">
        <v>821</v>
      </c>
      <c r="E20" s="9"/>
      <c r="F20" s="9"/>
    </row>
    <row r="22" spans="1:12" ht="18">
      <c r="A22" s="201" t="s">
        <v>822</v>
      </c>
      <c r="B22" s="235"/>
      <c r="C22" s="235"/>
      <c r="D22" s="235"/>
      <c r="E22" s="235"/>
      <c r="F22" s="235"/>
      <c r="G22" s="235"/>
      <c r="H22" s="235"/>
      <c r="I22" s="235"/>
      <c r="J22" s="235"/>
      <c r="K22" s="235"/>
      <c r="L22" s="235"/>
    </row>
    <row r="24" spans="1:12">
      <c r="B24" s="71"/>
      <c r="C24" s="4">
        <v>1</v>
      </c>
      <c r="D24" s="4" t="s">
        <v>823</v>
      </c>
    </row>
    <row r="25" spans="1:12">
      <c r="B25" s="71"/>
      <c r="C25" s="4">
        <v>2</v>
      </c>
      <c r="D25" s="4" t="s">
        <v>824</v>
      </c>
    </row>
    <row r="26" spans="1:12">
      <c r="E26" s="265" t="s">
        <v>513</v>
      </c>
      <c r="F26" s="265"/>
      <c r="G26" s="34" t="s">
        <v>825</v>
      </c>
    </row>
    <row r="27" spans="1:12">
      <c r="B27" s="71"/>
      <c r="E27" s="271" t="s">
        <v>826</v>
      </c>
      <c r="F27" s="266"/>
      <c r="G27" s="2">
        <f>J12</f>
        <v>796</v>
      </c>
    </row>
    <row r="28" spans="1:12">
      <c r="B28" s="71"/>
      <c r="E28" s="271" t="s">
        <v>827</v>
      </c>
      <c r="F28" s="266"/>
      <c r="G28" s="2">
        <f>J13</f>
        <v>4</v>
      </c>
    </row>
    <row r="29" spans="1:12">
      <c r="E29" s="268" t="s">
        <v>548</v>
      </c>
      <c r="F29" s="268"/>
      <c r="G29" s="64">
        <f>G28+G27</f>
        <v>800</v>
      </c>
    </row>
    <row r="30" spans="1:12">
      <c r="C30" s="8"/>
    </row>
    <row r="31" spans="1:12">
      <c r="C31" s="8" t="s">
        <v>828</v>
      </c>
    </row>
    <row r="32" spans="1:12">
      <c r="C32" s="8"/>
    </row>
    <row r="33" spans="2:10" ht="15" customHeight="1">
      <c r="B33" s="71"/>
      <c r="C33" s="4">
        <v>3</v>
      </c>
      <c r="D33" s="4" t="s">
        <v>829</v>
      </c>
    </row>
    <row r="34" spans="2:10">
      <c r="B34" s="71"/>
      <c r="C34" s="4">
        <v>4</v>
      </c>
      <c r="D34" s="4" t="s">
        <v>830</v>
      </c>
    </row>
    <row r="35" spans="2:10">
      <c r="B35" s="71"/>
      <c r="C35" s="4">
        <v>5</v>
      </c>
      <c r="D35" s="4" t="s">
        <v>831</v>
      </c>
    </row>
    <row r="36" spans="2:10">
      <c r="B36" s="71"/>
      <c r="C36" s="4">
        <v>6</v>
      </c>
      <c r="D36" s="4" t="s">
        <v>832</v>
      </c>
    </row>
    <row r="37" spans="2:10">
      <c r="B37" s="71"/>
      <c r="C37" s="4">
        <v>7</v>
      </c>
      <c r="D37" s="4" t="s">
        <v>833</v>
      </c>
    </row>
    <row r="38" spans="2:10">
      <c r="B38" s="71"/>
      <c r="C38" s="4">
        <v>8</v>
      </c>
      <c r="D38" s="4" t="s">
        <v>834</v>
      </c>
    </row>
    <row r="39" spans="2:10">
      <c r="B39" s="71"/>
      <c r="C39" s="4">
        <v>9</v>
      </c>
      <c r="D39" s="4" t="s">
        <v>764</v>
      </c>
    </row>
    <row r="40" spans="2:10">
      <c r="B40" s="71"/>
      <c r="C40" s="4">
        <v>10</v>
      </c>
      <c r="D40" s="4" t="s">
        <v>835</v>
      </c>
    </row>
    <row r="41" spans="2:10">
      <c r="B41" s="71"/>
      <c r="C41" s="4">
        <v>11</v>
      </c>
      <c r="D41" s="4" t="s">
        <v>836</v>
      </c>
    </row>
    <row r="42" spans="2:10" ht="30" customHeight="1">
      <c r="D42" s="273" t="s">
        <v>837</v>
      </c>
      <c r="E42" s="273"/>
      <c r="F42" s="34" t="s">
        <v>838</v>
      </c>
      <c r="G42" s="38" t="s">
        <v>839</v>
      </c>
      <c r="H42" s="38" t="s">
        <v>840</v>
      </c>
      <c r="I42" s="38" t="s">
        <v>841</v>
      </c>
      <c r="J42" s="38" t="s">
        <v>842</v>
      </c>
    </row>
    <row r="43" spans="2:10">
      <c r="D43" s="242">
        <v>1</v>
      </c>
      <c r="E43" s="243"/>
      <c r="F43" s="71"/>
      <c r="G43" s="71"/>
      <c r="H43" s="71"/>
      <c r="I43" s="72"/>
      <c r="J43" s="103" t="str">
        <f>IFERROR(AVERAGE(H43:I43),"")</f>
        <v/>
      </c>
    </row>
    <row r="44" spans="2:10">
      <c r="D44" s="242">
        <v>2</v>
      </c>
      <c r="E44" s="243"/>
      <c r="F44" s="71"/>
      <c r="G44" s="71"/>
      <c r="H44" s="71"/>
      <c r="I44" s="72"/>
      <c r="J44" s="103" t="str">
        <f t="shared" ref="J44:J50" si="0">IFERROR(AVERAGE(H44:I44),"")</f>
        <v/>
      </c>
    </row>
    <row r="45" spans="2:10">
      <c r="D45" s="242">
        <v>3</v>
      </c>
      <c r="E45" s="243"/>
      <c r="F45" s="71"/>
      <c r="G45" s="71"/>
      <c r="H45" s="71"/>
      <c r="I45" s="72"/>
      <c r="J45" s="103" t="str">
        <f t="shared" si="0"/>
        <v/>
      </c>
    </row>
    <row r="46" spans="2:10">
      <c r="D46" s="242">
        <v>4</v>
      </c>
      <c r="E46" s="243"/>
      <c r="F46" s="71"/>
      <c r="G46" s="71"/>
      <c r="H46" s="71"/>
      <c r="I46" s="72"/>
      <c r="J46" s="103" t="str">
        <f t="shared" si="0"/>
        <v/>
      </c>
    </row>
    <row r="47" spans="2:10">
      <c r="D47" s="242">
        <v>5</v>
      </c>
      <c r="E47" s="243"/>
      <c r="F47" s="71"/>
      <c r="G47" s="71"/>
      <c r="H47" s="71"/>
      <c r="I47" s="72"/>
      <c r="J47" s="103" t="str">
        <f t="shared" si="0"/>
        <v/>
      </c>
    </row>
    <row r="48" spans="2:10">
      <c r="D48" s="242">
        <v>6</v>
      </c>
      <c r="E48" s="243"/>
      <c r="F48" s="71"/>
      <c r="G48" s="71"/>
      <c r="H48" s="71"/>
      <c r="I48" s="72"/>
      <c r="J48" s="103" t="str">
        <f t="shared" si="0"/>
        <v/>
      </c>
    </row>
    <row r="49" spans="1:12">
      <c r="D49" s="242">
        <v>7</v>
      </c>
      <c r="E49" s="243"/>
      <c r="F49" s="71"/>
      <c r="G49" s="71"/>
      <c r="H49" s="71"/>
      <c r="I49" s="72"/>
      <c r="J49" s="103" t="str">
        <f t="shared" si="0"/>
        <v/>
      </c>
    </row>
    <row r="50" spans="1:12">
      <c r="D50" s="242">
        <v>8</v>
      </c>
      <c r="E50" s="243"/>
      <c r="F50" s="71"/>
      <c r="G50" s="71"/>
      <c r="H50" s="71"/>
      <c r="I50" s="72"/>
      <c r="J50" s="103" t="str">
        <f t="shared" si="0"/>
        <v/>
      </c>
    </row>
    <row r="51" spans="1:12">
      <c r="B51" s="71"/>
      <c r="C51" s="4">
        <v>12</v>
      </c>
      <c r="D51" s="4" t="s">
        <v>843</v>
      </c>
    </row>
    <row r="52" spans="1:12">
      <c r="C52" s="9"/>
      <c r="E52" s="9"/>
      <c r="F52" s="9"/>
    </row>
    <row r="53" spans="1:12">
      <c r="B53" s="67" t="s">
        <v>631</v>
      </c>
      <c r="C53" s="68"/>
      <c r="D53" s="68"/>
      <c r="E53" s="68"/>
      <c r="F53" s="71"/>
    </row>
    <row r="54" spans="1:12">
      <c r="D54" s="9"/>
      <c r="E54" s="9"/>
      <c r="F54" s="9"/>
    </row>
    <row r="55" spans="1:12" ht="18">
      <c r="A55" s="201" t="s">
        <v>844</v>
      </c>
      <c r="B55" s="235"/>
      <c r="C55" s="235"/>
      <c r="D55" s="235"/>
      <c r="E55" s="235"/>
      <c r="F55" s="235"/>
      <c r="G55" s="235"/>
      <c r="H55" s="235"/>
      <c r="I55" s="235"/>
      <c r="J55" s="235"/>
      <c r="K55" s="235"/>
      <c r="L55" s="235"/>
    </row>
  </sheetData>
  <sheetProtection algorithmName="SHA-512" hashValue="hweXYA/hJdSy88xDTViIMtkKn+KTm0QxthaErDMRVTHkyHLa8lsLOn1gcRej4YOZn9YqNiZqBX612KUB/08p7g==" saltValue="4Lk3qbIGUVWK16vD7ibEzA==" spinCount="100000" sheet="1" objects="1" scenarios="1"/>
  <mergeCells count="29">
    <mergeCell ref="D47:E47"/>
    <mergeCell ref="D48:E48"/>
    <mergeCell ref="D49:E49"/>
    <mergeCell ref="D50:E50"/>
    <mergeCell ref="D44:E44"/>
    <mergeCell ref="D45:E45"/>
    <mergeCell ref="D46:E46"/>
    <mergeCell ref="E28:F28"/>
    <mergeCell ref="E27:F27"/>
    <mergeCell ref="E15:F15"/>
    <mergeCell ref="J14:K14"/>
    <mergeCell ref="J13:K13"/>
    <mergeCell ref="E26:F26"/>
    <mergeCell ref="A55:L55"/>
    <mergeCell ref="A1:L1"/>
    <mergeCell ref="B3:E3"/>
    <mergeCell ref="B4:E4"/>
    <mergeCell ref="B5:E5"/>
    <mergeCell ref="A8:L8"/>
    <mergeCell ref="D42:E42"/>
    <mergeCell ref="D43:E43"/>
    <mergeCell ref="J12:K12"/>
    <mergeCell ref="E11:F11"/>
    <mergeCell ref="A22:L22"/>
    <mergeCell ref="E29:F29"/>
    <mergeCell ref="E13:F13"/>
    <mergeCell ref="E12:F12"/>
    <mergeCell ref="E14:F14"/>
    <mergeCell ref="J15:K15"/>
  </mergeCells>
  <pageMargins left="0.70866141732283472" right="0.70866141732283472" top="0.74803149606299213" bottom="0.74803149606299213" header="0.31496062992125984" footer="0.31496062992125984"/>
  <pageSetup paperSize="9" scale="60" fitToHeight="0" orientation="portrait" r:id="rId1"/>
  <headerFooter>
    <oddHeader>&amp;R&amp;G</oddHeader>
    <oddFooter>&amp;L&amp;8Version: 1.0&amp;C&amp;8&amp;P of &amp;N&amp;R&amp;8Revidováno: září 2023</oddFooter>
  </headerFooter>
  <ignoredErrors>
    <ignoredError sqref="K11" unlockedFormula="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25294-D635-4914-A355-5E4B661345F6}">
  <sheetPr codeName="Sheet15"/>
  <dimension ref="A1:O45"/>
  <sheetViews>
    <sheetView zoomScale="70" zoomScaleNormal="70" workbookViewId="0">
      <selection sqref="A1:L1"/>
    </sheetView>
  </sheetViews>
  <sheetFormatPr defaultColWidth="9.44140625" defaultRowHeight="14.4"/>
  <cols>
    <col min="1" max="2" width="2.5546875" style="4" customWidth="1"/>
    <col min="3" max="3" width="3.5546875" style="4" customWidth="1"/>
    <col min="4" max="4" width="2.5546875" style="4" customWidth="1"/>
    <col min="5" max="5" width="6.5546875" style="4" customWidth="1"/>
    <col min="6" max="6" width="14.44140625" style="4" customWidth="1"/>
    <col min="7" max="7" width="28.44140625" style="4" customWidth="1"/>
    <col min="8" max="8" width="17.5546875" style="4" customWidth="1"/>
    <col min="9" max="9" width="12.5546875" style="4" customWidth="1"/>
    <col min="10" max="10" width="13.44140625" style="4" customWidth="1"/>
    <col min="11" max="11" width="6.5546875" style="4" customWidth="1"/>
    <col min="12" max="12" width="26.5546875" style="4" customWidth="1"/>
    <col min="13" max="16384" width="9.44140625" style="4"/>
  </cols>
  <sheetData>
    <row r="1" spans="1:15" s="15" customFormat="1" ht="18">
      <c r="A1" s="198" t="s">
        <v>845</v>
      </c>
      <c r="B1" s="234"/>
      <c r="C1" s="234"/>
      <c r="D1" s="234"/>
      <c r="E1" s="234"/>
      <c r="F1" s="234"/>
      <c r="G1" s="234"/>
      <c r="H1" s="234"/>
      <c r="I1" s="234"/>
      <c r="J1" s="234"/>
      <c r="K1" s="234"/>
      <c r="L1" s="234"/>
      <c r="M1"/>
      <c r="O1"/>
    </row>
    <row r="2" spans="1:15">
      <c r="C2" s="6"/>
      <c r="D2" s="7"/>
      <c r="E2" s="7"/>
      <c r="F2" s="7"/>
    </row>
    <row r="3" spans="1:15">
      <c r="B3" s="206" t="s">
        <v>360</v>
      </c>
      <c r="C3" s="207"/>
      <c r="D3" s="207"/>
      <c r="E3" s="207"/>
      <c r="F3" s="2" t="str">
        <f>'1.0 Sample_Prep'!$E$3</f>
        <v>Zadejte</v>
      </c>
    </row>
    <row r="4" spans="1:15">
      <c r="B4" s="228" t="s">
        <v>369</v>
      </c>
      <c r="C4" s="229"/>
      <c r="D4" s="229"/>
      <c r="E4" s="230"/>
      <c r="F4" s="82"/>
    </row>
    <row r="5" spans="1:15">
      <c r="A5" s="5"/>
      <c r="B5" s="231" t="s">
        <v>370</v>
      </c>
      <c r="C5" s="232"/>
      <c r="D5" s="232"/>
      <c r="E5" s="233"/>
      <c r="F5" s="82"/>
    </row>
    <row r="6" spans="1:15">
      <c r="A6" s="5"/>
      <c r="B6" s="67" t="s">
        <v>510</v>
      </c>
      <c r="C6" s="68"/>
      <c r="D6" s="68"/>
      <c r="E6" s="68"/>
      <c r="F6" s="82"/>
    </row>
    <row r="7" spans="1:15">
      <c r="C7" s="6"/>
      <c r="D7" s="7"/>
      <c r="E7" s="7"/>
      <c r="F7" s="7"/>
    </row>
    <row r="8" spans="1:15" ht="18">
      <c r="A8" s="201" t="s">
        <v>511</v>
      </c>
      <c r="B8" s="235"/>
      <c r="C8" s="235"/>
      <c r="D8" s="235"/>
      <c r="E8" s="235"/>
      <c r="F8" s="235"/>
      <c r="G8" s="235"/>
      <c r="H8" s="235"/>
      <c r="I8" s="235"/>
      <c r="J8" s="235"/>
      <c r="K8" s="235"/>
      <c r="L8" s="235"/>
    </row>
    <row r="9" spans="1:15">
      <c r="C9" s="8"/>
    </row>
    <row r="10" spans="1:15">
      <c r="B10" s="71"/>
      <c r="C10" s="4">
        <v>1</v>
      </c>
      <c r="D10" s="16" t="s">
        <v>650</v>
      </c>
      <c r="E10" s="9"/>
    </row>
    <row r="11" spans="1:15" s="17" customFormat="1" ht="57.75" customHeight="1">
      <c r="C11" s="18"/>
      <c r="E11" s="257" t="s">
        <v>513</v>
      </c>
      <c r="F11" s="256"/>
      <c r="G11" s="36" t="s">
        <v>514</v>
      </c>
      <c r="H11" s="37" t="s">
        <v>515</v>
      </c>
      <c r="I11" s="38" t="s">
        <v>710</v>
      </c>
      <c r="J11" s="38" t="s">
        <v>697</v>
      </c>
      <c r="K11" s="134">
        <f>'4.0 Hybridisation'!K11</f>
        <v>1</v>
      </c>
      <c r="L11" s="38" t="s">
        <v>518</v>
      </c>
    </row>
    <row r="12" spans="1:15" ht="46.5" customHeight="1">
      <c r="B12" s="71"/>
      <c r="E12" s="241" t="s">
        <v>846</v>
      </c>
      <c r="F12" s="248"/>
      <c r="G12" s="87"/>
      <c r="H12" s="75" t="s">
        <v>847</v>
      </c>
      <c r="I12" s="19">
        <v>1</v>
      </c>
      <c r="J12" s="296">
        <v>1</v>
      </c>
      <c r="K12" s="209"/>
      <c r="L12" s="19" t="s">
        <v>816</v>
      </c>
    </row>
    <row r="13" spans="1:15" ht="45" customHeight="1">
      <c r="B13" s="71"/>
      <c r="E13" s="241" t="s">
        <v>848</v>
      </c>
      <c r="F13" s="248"/>
      <c r="G13" s="87"/>
      <c r="H13" s="75" t="s">
        <v>847</v>
      </c>
      <c r="I13" s="19">
        <v>3</v>
      </c>
      <c r="J13" s="296">
        <f>($K$11+1)*I13</f>
        <v>6</v>
      </c>
      <c r="K13" s="209"/>
      <c r="L13" s="19" t="s">
        <v>816</v>
      </c>
    </row>
    <row r="14" spans="1:15">
      <c r="C14" s="8" t="s">
        <v>819</v>
      </c>
    </row>
    <row r="16" spans="1:15">
      <c r="B16" s="71"/>
      <c r="C16" s="4">
        <v>2</v>
      </c>
      <c r="D16" s="9" t="s">
        <v>538</v>
      </c>
      <c r="E16" s="9"/>
      <c r="F16" s="9"/>
    </row>
    <row r="17" spans="1:12">
      <c r="B17" s="71"/>
      <c r="D17" s="4" t="s">
        <v>849</v>
      </c>
      <c r="E17" s="9"/>
      <c r="F17" s="9"/>
    </row>
    <row r="18" spans="1:12">
      <c r="B18" s="71"/>
      <c r="D18" s="4" t="s">
        <v>850</v>
      </c>
      <c r="E18" s="9"/>
      <c r="F18" s="9"/>
    </row>
    <row r="19" spans="1:12">
      <c r="B19" s="71"/>
      <c r="D19" s="4" t="s">
        <v>851</v>
      </c>
      <c r="G19" s="110"/>
      <c r="H19" s="111"/>
      <c r="I19" s="110"/>
      <c r="J19" s="110"/>
      <c r="K19" s="110"/>
      <c r="L19" s="110"/>
    </row>
    <row r="21" spans="1:12" ht="18">
      <c r="A21" s="201" t="s">
        <v>852</v>
      </c>
      <c r="B21" s="235"/>
      <c r="C21" s="235"/>
      <c r="D21" s="235"/>
      <c r="E21" s="235"/>
      <c r="F21" s="235"/>
      <c r="G21" s="235"/>
      <c r="H21" s="235"/>
      <c r="I21" s="235"/>
      <c r="J21" s="235"/>
      <c r="K21" s="235"/>
      <c r="L21" s="235"/>
    </row>
    <row r="22" spans="1:12" s="20" customFormat="1"/>
    <row r="23" spans="1:12">
      <c r="B23" s="71"/>
      <c r="C23" s="4">
        <v>1</v>
      </c>
      <c r="D23" s="4" t="s">
        <v>853</v>
      </c>
    </row>
    <row r="24" spans="1:12">
      <c r="B24" s="71"/>
      <c r="C24" s="4">
        <v>2</v>
      </c>
      <c r="D24" s="4" t="s">
        <v>854</v>
      </c>
    </row>
    <row r="25" spans="1:12">
      <c r="B25" s="71"/>
      <c r="C25" s="4">
        <v>3</v>
      </c>
      <c r="D25" s="4" t="s">
        <v>855</v>
      </c>
    </row>
    <row r="26" spans="1:12">
      <c r="B26" s="71"/>
      <c r="C26" s="4">
        <v>4</v>
      </c>
      <c r="D26" s="4" t="s">
        <v>856</v>
      </c>
    </row>
    <row r="27" spans="1:12">
      <c r="B27" s="71"/>
      <c r="C27" s="4">
        <v>5</v>
      </c>
      <c r="D27" s="116" t="s">
        <v>857</v>
      </c>
      <c r="E27" s="110"/>
      <c r="F27" s="110"/>
      <c r="G27" s="110"/>
    </row>
    <row r="28" spans="1:12">
      <c r="B28" s="71"/>
      <c r="C28" s="4">
        <v>6</v>
      </c>
      <c r="D28" s="115" t="s">
        <v>858</v>
      </c>
      <c r="E28" s="110"/>
      <c r="F28" s="110"/>
      <c r="G28" s="114"/>
    </row>
    <row r="29" spans="1:12">
      <c r="B29" s="71"/>
      <c r="C29" s="4">
        <v>7</v>
      </c>
      <c r="D29" s="4" t="s">
        <v>859</v>
      </c>
      <c r="G29" s="114"/>
    </row>
    <row r="30" spans="1:12">
      <c r="B30" s="71"/>
      <c r="C30" s="4">
        <v>8</v>
      </c>
      <c r="D30" s="4" t="s">
        <v>860</v>
      </c>
      <c r="E30" s="110"/>
      <c r="F30" s="110"/>
      <c r="G30" s="114"/>
    </row>
    <row r="31" spans="1:12">
      <c r="B31" s="71"/>
      <c r="C31" s="4">
        <v>9</v>
      </c>
      <c r="D31" s="5" t="s">
        <v>861</v>
      </c>
      <c r="E31" s="110"/>
      <c r="F31" s="110"/>
      <c r="G31" s="114"/>
    </row>
    <row r="32" spans="1:12">
      <c r="B32" s="71"/>
      <c r="C32" s="4">
        <v>10</v>
      </c>
      <c r="D32" s="4" t="s">
        <v>862</v>
      </c>
    </row>
    <row r="33" spans="1:12" ht="57.6">
      <c r="D33" s="273" t="s">
        <v>837</v>
      </c>
      <c r="E33" s="273"/>
      <c r="F33" s="34" t="s">
        <v>838</v>
      </c>
      <c r="G33" s="38" t="s">
        <v>839</v>
      </c>
      <c r="H33" s="38" t="s">
        <v>863</v>
      </c>
      <c r="I33" s="38" t="s">
        <v>864</v>
      </c>
      <c r="J33" s="38" t="s">
        <v>865</v>
      </c>
    </row>
    <row r="34" spans="1:12">
      <c r="D34" s="239">
        <v>1</v>
      </c>
      <c r="E34" s="244"/>
      <c r="F34" s="71"/>
      <c r="G34" s="71"/>
      <c r="H34" s="71"/>
      <c r="I34" s="72"/>
      <c r="J34" s="72"/>
    </row>
    <row r="35" spans="1:12">
      <c r="D35" s="239">
        <v>2</v>
      </c>
      <c r="E35" s="244"/>
      <c r="F35" s="71"/>
      <c r="G35" s="71"/>
      <c r="H35" s="71"/>
      <c r="I35" s="72"/>
      <c r="J35" s="72"/>
    </row>
    <row r="36" spans="1:12">
      <c r="D36" s="239">
        <v>3</v>
      </c>
      <c r="E36" s="244"/>
      <c r="F36" s="71"/>
      <c r="G36" s="71"/>
      <c r="H36" s="71"/>
      <c r="I36" s="72"/>
      <c r="J36" s="72"/>
    </row>
    <row r="37" spans="1:12">
      <c r="D37" s="239">
        <v>4</v>
      </c>
      <c r="E37" s="244"/>
      <c r="F37" s="71"/>
      <c r="G37" s="71"/>
      <c r="H37" s="71"/>
      <c r="I37" s="72"/>
      <c r="J37" s="72"/>
    </row>
    <row r="38" spans="1:12">
      <c r="D38" s="239">
        <v>5</v>
      </c>
      <c r="E38" s="244"/>
      <c r="F38" s="71"/>
      <c r="G38" s="71"/>
      <c r="H38" s="71"/>
      <c r="I38" s="72"/>
      <c r="J38" s="72"/>
    </row>
    <row r="39" spans="1:12">
      <c r="D39" s="239">
        <v>6</v>
      </c>
      <c r="E39" s="244"/>
      <c r="F39" s="71"/>
      <c r="G39" s="71"/>
      <c r="H39" s="71"/>
      <c r="I39" s="72"/>
      <c r="J39" s="72"/>
    </row>
    <row r="40" spans="1:12">
      <c r="D40" s="239">
        <v>7</v>
      </c>
      <c r="E40" s="244"/>
      <c r="F40" s="71"/>
      <c r="G40" s="71"/>
      <c r="H40" s="71"/>
      <c r="I40" s="72"/>
      <c r="J40" s="72"/>
    </row>
    <row r="41" spans="1:12">
      <c r="D41" s="239">
        <v>8</v>
      </c>
      <c r="E41" s="244"/>
      <c r="F41" s="71"/>
      <c r="G41" s="71"/>
      <c r="H41" s="71"/>
      <c r="I41" s="72"/>
      <c r="J41" s="72"/>
    </row>
    <row r="43" spans="1:12">
      <c r="B43" s="67" t="s">
        <v>631</v>
      </c>
      <c r="C43" s="68"/>
      <c r="D43" s="68"/>
      <c r="E43" s="68"/>
      <c r="F43" s="71"/>
    </row>
    <row r="44" spans="1:12">
      <c r="D44" s="9"/>
      <c r="E44" s="9"/>
      <c r="F44" s="9"/>
    </row>
    <row r="45" spans="1:12" ht="18">
      <c r="A45" s="201" t="s">
        <v>844</v>
      </c>
      <c r="B45" s="235"/>
      <c r="C45" s="235"/>
      <c r="D45" s="235"/>
      <c r="E45" s="235"/>
      <c r="F45" s="235"/>
      <c r="G45" s="235"/>
      <c r="H45" s="235"/>
      <c r="I45" s="235"/>
      <c r="J45" s="235"/>
      <c r="K45" s="235"/>
      <c r="L45" s="235"/>
    </row>
  </sheetData>
  <sheetProtection algorithmName="SHA-512" hashValue="NjJd0REtxlhqDrDKilXPWZ0puYpT2Strj2ZL4ARXB2Cr1gMWimNCJiGWEk3D9XlOyeDyAC8ahBwlm/LqQvxD7A==" saltValue="HiQUyf7eASqcAsShJP8jjQ==" spinCount="100000" sheet="1" objects="1" scenarios="1"/>
  <mergeCells count="21">
    <mergeCell ref="A45:L45"/>
    <mergeCell ref="D37:E37"/>
    <mergeCell ref="D36:E36"/>
    <mergeCell ref="D34:E34"/>
    <mergeCell ref="D38:E38"/>
    <mergeCell ref="D39:E39"/>
    <mergeCell ref="D40:E40"/>
    <mergeCell ref="D41:E41"/>
    <mergeCell ref="D35:E35"/>
    <mergeCell ref="E12:F12"/>
    <mergeCell ref="J12:K12"/>
    <mergeCell ref="E13:F13"/>
    <mergeCell ref="J13:K13"/>
    <mergeCell ref="D33:E33"/>
    <mergeCell ref="A21:L21"/>
    <mergeCell ref="E11:F11"/>
    <mergeCell ref="A1:L1"/>
    <mergeCell ref="B3:E3"/>
    <mergeCell ref="B4:E4"/>
    <mergeCell ref="B5:E5"/>
    <mergeCell ref="A8:L8"/>
  </mergeCells>
  <pageMargins left="0.70866141732283472" right="0.70866141732283472" top="0.74803149606299213" bottom="0.74803149606299213" header="0.31496062992125984" footer="0.31496062992125984"/>
  <pageSetup paperSize="9" scale="60" fitToHeight="0" orientation="portrait" r:id="rId1"/>
  <headerFooter>
    <oddHeader>&amp;R&amp;G</oddHeader>
    <oddFooter>&amp;L&amp;8Version: 1.0&amp;C&amp;8&amp;P of &amp;N&amp;R&amp;8Revidováno: září 2023</oddFooter>
  </headerFooter>
  <ignoredErrors>
    <ignoredError sqref="K11" unlockedFormula="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8C0FF-7A0B-49EE-B6FA-43535F23E167}">
  <sheetPr codeName="Sheet17"/>
  <dimension ref="A1:O77"/>
  <sheetViews>
    <sheetView zoomScale="70" zoomScaleNormal="70" workbookViewId="0">
      <selection sqref="A1:L1"/>
    </sheetView>
  </sheetViews>
  <sheetFormatPr defaultColWidth="8.5546875" defaultRowHeight="14.4"/>
  <cols>
    <col min="1" max="4" width="2.5546875" style="4" customWidth="1"/>
    <col min="5" max="5" width="5.5546875" style="4" customWidth="1"/>
    <col min="6" max="6" width="14.44140625" style="4" customWidth="1"/>
    <col min="7" max="7" width="28.44140625" style="4" customWidth="1"/>
    <col min="8" max="8" width="17.5546875" style="4" customWidth="1"/>
    <col min="9" max="9" width="12.5546875" style="4" customWidth="1"/>
    <col min="10" max="10" width="13.44140625" style="4" customWidth="1"/>
    <col min="11" max="11" width="6.5546875" style="4" customWidth="1"/>
    <col min="12" max="12" width="26.5546875" style="4" customWidth="1"/>
    <col min="13" max="16384" width="8.5546875" style="4"/>
  </cols>
  <sheetData>
    <row r="1" spans="1:15" s="15" customFormat="1" ht="20.85" customHeight="1">
      <c r="A1" s="198" t="s">
        <v>866</v>
      </c>
      <c r="B1" s="234"/>
      <c r="C1" s="234"/>
      <c r="D1" s="234"/>
      <c r="E1" s="234"/>
      <c r="F1" s="234"/>
      <c r="G1" s="234"/>
      <c r="H1" s="234"/>
      <c r="I1" s="234"/>
      <c r="J1" s="234"/>
      <c r="K1" s="234"/>
      <c r="L1" s="234"/>
      <c r="M1"/>
      <c r="O1"/>
    </row>
    <row r="2" spans="1:15">
      <c r="C2" s="6"/>
      <c r="D2" s="7"/>
      <c r="E2" s="7"/>
      <c r="F2" s="7"/>
    </row>
    <row r="3" spans="1:15">
      <c r="B3" s="231" t="s">
        <v>369</v>
      </c>
      <c r="C3" s="303"/>
      <c r="D3" s="303"/>
      <c r="E3" s="301"/>
      <c r="F3" s="82"/>
      <c r="H3" s="311" t="s">
        <v>867</v>
      </c>
      <c r="I3" s="226"/>
      <c r="J3" s="226"/>
      <c r="K3" s="226"/>
      <c r="L3" s="227"/>
    </row>
    <row r="4" spans="1:15">
      <c r="B4" s="231" t="s">
        <v>370</v>
      </c>
      <c r="C4" s="303"/>
      <c r="D4" s="303"/>
      <c r="E4" s="301"/>
      <c r="F4" s="82"/>
      <c r="H4" s="312" t="s">
        <v>868</v>
      </c>
      <c r="I4" s="226"/>
      <c r="J4" s="226"/>
      <c r="K4" s="226"/>
      <c r="L4" s="227"/>
    </row>
    <row r="5" spans="1:15">
      <c r="A5" s="5"/>
      <c r="B5" s="231" t="s">
        <v>510</v>
      </c>
      <c r="C5" s="303"/>
      <c r="D5" s="303"/>
      <c r="E5" s="301"/>
      <c r="F5" s="82"/>
    </row>
    <row r="6" spans="1:15">
      <c r="A6" s="5"/>
      <c r="C6" s="6"/>
      <c r="D6" s="7"/>
      <c r="E6" s="7"/>
      <c r="F6" s="7"/>
    </row>
    <row r="7" spans="1:15" ht="18">
      <c r="A7" s="201" t="s">
        <v>869</v>
      </c>
      <c r="B7" s="235"/>
      <c r="C7" s="235"/>
      <c r="D7" s="235"/>
      <c r="E7" s="235"/>
      <c r="F7" s="235"/>
      <c r="G7" s="235"/>
      <c r="H7" s="235"/>
      <c r="I7" s="235"/>
      <c r="J7" s="235"/>
      <c r="K7" s="235"/>
      <c r="L7" s="235"/>
    </row>
    <row r="8" spans="1:15">
      <c r="A8" s="4" t="s">
        <v>870</v>
      </c>
    </row>
    <row r="9" spans="1:15">
      <c r="B9" s="71"/>
      <c r="C9" s="4">
        <v>1</v>
      </c>
      <c r="D9" s="16" t="s">
        <v>650</v>
      </c>
      <c r="E9" s="9"/>
    </row>
    <row r="10" spans="1:15" s="17" customFormat="1" ht="28.8">
      <c r="C10" s="18"/>
      <c r="E10" s="257" t="s">
        <v>513</v>
      </c>
      <c r="F10" s="256"/>
      <c r="G10" s="36" t="s">
        <v>514</v>
      </c>
      <c r="H10" s="37" t="s">
        <v>515</v>
      </c>
      <c r="I10" s="314" t="s">
        <v>710</v>
      </c>
      <c r="J10" s="209"/>
      <c r="K10" s="315" t="s">
        <v>518</v>
      </c>
      <c r="L10" s="209"/>
    </row>
    <row r="11" spans="1:15" ht="42.75" customHeight="1">
      <c r="B11" s="71"/>
      <c r="E11" s="316" t="s">
        <v>871</v>
      </c>
      <c r="F11" s="317"/>
      <c r="G11" s="83"/>
      <c r="H11" s="75" t="s">
        <v>872</v>
      </c>
      <c r="I11" s="308">
        <v>2</v>
      </c>
      <c r="J11" s="309"/>
      <c r="K11" s="298" t="s">
        <v>873</v>
      </c>
      <c r="L11" s="313"/>
    </row>
    <row r="12" spans="1:15" ht="36.75" customHeight="1">
      <c r="B12" s="71"/>
      <c r="E12" s="241" t="s">
        <v>735</v>
      </c>
      <c r="F12" s="248"/>
      <c r="G12" s="83"/>
      <c r="H12" s="75" t="s">
        <v>699</v>
      </c>
      <c r="I12" s="318">
        <v>5</v>
      </c>
      <c r="J12" s="319"/>
      <c r="K12" s="298" t="s">
        <v>816</v>
      </c>
      <c r="L12" s="313"/>
    </row>
    <row r="13" spans="1:15" ht="42.75" customHeight="1">
      <c r="B13" s="71"/>
      <c r="E13" s="241" t="s">
        <v>522</v>
      </c>
      <c r="F13" s="248"/>
      <c r="G13" s="83"/>
      <c r="H13" s="75" t="s">
        <v>794</v>
      </c>
      <c r="I13" s="318">
        <v>45</v>
      </c>
      <c r="J13" s="319"/>
      <c r="K13" s="298" t="s">
        <v>524</v>
      </c>
      <c r="L13" s="313"/>
    </row>
    <row r="14" spans="1:15" ht="35.25" customHeight="1">
      <c r="B14" s="71"/>
      <c r="E14" s="241" t="s">
        <v>660</v>
      </c>
      <c r="F14" s="248"/>
      <c r="G14" s="83"/>
      <c r="H14" s="75" t="s">
        <v>654</v>
      </c>
      <c r="I14" s="308">
        <v>3</v>
      </c>
      <c r="J14" s="309"/>
      <c r="K14" s="298" t="s">
        <v>816</v>
      </c>
      <c r="L14" s="313"/>
    </row>
    <row r="15" spans="1:15" ht="44.55" customHeight="1">
      <c r="B15" s="71"/>
      <c r="E15" s="253" t="s">
        <v>874</v>
      </c>
      <c r="F15" s="254"/>
      <c r="G15" s="83"/>
      <c r="H15" s="75" t="s">
        <v>872</v>
      </c>
      <c r="I15" s="308">
        <f>990+H50</f>
        <v>990</v>
      </c>
      <c r="J15" s="309"/>
      <c r="K15" s="298" t="s">
        <v>873</v>
      </c>
      <c r="L15" s="313"/>
    </row>
    <row r="17" spans="1:12" s="74" customFormat="1">
      <c r="B17" s="71"/>
      <c r="C17" s="4">
        <v>2</v>
      </c>
      <c r="D17" s="16" t="s">
        <v>875</v>
      </c>
      <c r="E17" s="9"/>
      <c r="G17" s="144"/>
      <c r="K17" s="110"/>
    </row>
    <row r="18" spans="1:12" s="74" customFormat="1">
      <c r="B18" s="17"/>
      <c r="C18" s="4"/>
      <c r="D18" s="16"/>
      <c r="E18" s="255" t="s">
        <v>513</v>
      </c>
      <c r="F18" s="265"/>
      <c r="G18" s="38" t="s">
        <v>825</v>
      </c>
      <c r="K18" s="110"/>
    </row>
    <row r="19" spans="1:12">
      <c r="B19" s="71"/>
      <c r="E19" s="241" t="s">
        <v>547</v>
      </c>
      <c r="F19" s="248"/>
      <c r="G19" s="69">
        <v>45</v>
      </c>
    </row>
    <row r="20" spans="1:12">
      <c r="B20" s="71"/>
      <c r="E20" s="241" t="s">
        <v>735</v>
      </c>
      <c r="F20" s="248"/>
      <c r="G20" s="69">
        <v>5</v>
      </c>
    </row>
    <row r="21" spans="1:12" ht="32.1" customHeight="1">
      <c r="B21" s="133"/>
      <c r="C21" s="287" t="s">
        <v>876</v>
      </c>
      <c r="D21" s="262"/>
      <c r="E21" s="262"/>
      <c r="F21" s="262"/>
      <c r="G21" s="262"/>
      <c r="H21" s="262"/>
      <c r="I21" s="262"/>
      <c r="J21" s="262"/>
      <c r="K21" s="262"/>
      <c r="L21" s="262"/>
    </row>
    <row r="22" spans="1:12">
      <c r="D22" s="9"/>
      <c r="E22" s="9"/>
      <c r="F22" s="9"/>
    </row>
    <row r="23" spans="1:12">
      <c r="B23" s="71"/>
      <c r="C23" s="4">
        <v>3</v>
      </c>
      <c r="D23" s="9" t="s">
        <v>537</v>
      </c>
      <c r="E23" s="9"/>
      <c r="F23" s="9"/>
    </row>
    <row r="24" spans="1:12">
      <c r="B24" s="71"/>
      <c r="C24" s="4">
        <v>4</v>
      </c>
      <c r="D24" s="9" t="s">
        <v>538</v>
      </c>
      <c r="E24" s="9"/>
      <c r="F24" s="9"/>
    </row>
    <row r="25" spans="1:12" s="74" customFormat="1">
      <c r="B25" s="71"/>
      <c r="C25" s="4"/>
      <c r="D25" s="4" t="s">
        <v>541</v>
      </c>
      <c r="E25" s="9"/>
      <c r="G25" s="144"/>
      <c r="K25" s="110"/>
    </row>
    <row r="27" spans="1:12" ht="18">
      <c r="A27" s="201" t="s">
        <v>877</v>
      </c>
      <c r="B27" s="235"/>
      <c r="C27" s="235"/>
      <c r="D27" s="235"/>
      <c r="E27" s="235"/>
      <c r="F27" s="235"/>
      <c r="G27" s="235"/>
      <c r="H27" s="235"/>
      <c r="I27" s="235"/>
      <c r="J27" s="235"/>
      <c r="K27" s="235"/>
      <c r="L27" s="235"/>
    </row>
    <row r="29" spans="1:12">
      <c r="B29" s="71"/>
      <c r="C29" s="4">
        <v>1</v>
      </c>
      <c r="D29" s="4" t="s">
        <v>878</v>
      </c>
      <c r="H29" s="9"/>
    </row>
    <row r="30" spans="1:12">
      <c r="B30" s="71"/>
      <c r="C30" s="4">
        <v>2</v>
      </c>
      <c r="D30" s="4" t="s">
        <v>879</v>
      </c>
      <c r="H30" s="9"/>
    </row>
    <row r="31" spans="1:12">
      <c r="B31" s="71"/>
      <c r="C31" s="4">
        <v>3</v>
      </c>
      <c r="D31" s="4" t="s">
        <v>880</v>
      </c>
    </row>
    <row r="32" spans="1:12">
      <c r="B32" s="71"/>
      <c r="C32" s="4">
        <v>4</v>
      </c>
      <c r="D32" s="9" t="s">
        <v>881</v>
      </c>
      <c r="E32" s="9"/>
      <c r="F32" s="9"/>
    </row>
    <row r="33" spans="1:12">
      <c r="B33" s="71"/>
      <c r="C33" s="4">
        <v>5</v>
      </c>
      <c r="D33" s="9" t="s">
        <v>690</v>
      </c>
      <c r="E33" s="9"/>
      <c r="F33" s="9"/>
    </row>
    <row r="34" spans="1:12">
      <c r="B34" s="71"/>
      <c r="C34" s="4">
        <v>6</v>
      </c>
      <c r="D34" s="9" t="s">
        <v>882</v>
      </c>
      <c r="E34" s="9"/>
      <c r="F34" s="9"/>
    </row>
    <row r="35" spans="1:12">
      <c r="B35" s="71"/>
      <c r="C35" s="4">
        <v>7</v>
      </c>
      <c r="D35" s="9" t="s">
        <v>883</v>
      </c>
      <c r="F35" s="9"/>
    </row>
    <row r="36" spans="1:12">
      <c r="D36" s="9"/>
      <c r="F36" s="9"/>
    </row>
    <row r="37" spans="1:12" ht="28.35" customHeight="1">
      <c r="C37" s="310" t="s">
        <v>884</v>
      </c>
      <c r="D37" s="262"/>
      <c r="E37" s="262"/>
      <c r="F37" s="262"/>
      <c r="G37" s="262"/>
      <c r="H37" s="262"/>
      <c r="I37" s="262"/>
      <c r="J37" s="262"/>
      <c r="K37" s="262"/>
      <c r="L37" s="262"/>
    </row>
    <row r="38" spans="1:12">
      <c r="E38" s="9"/>
      <c r="F38" s="9"/>
    </row>
    <row r="39" spans="1:12">
      <c r="B39" s="67" t="s">
        <v>631</v>
      </c>
      <c r="C39" s="68"/>
      <c r="D39" s="68"/>
      <c r="E39" s="68"/>
      <c r="F39" s="71"/>
    </row>
    <row r="40" spans="1:12">
      <c r="E40" s="9"/>
      <c r="F40" s="9"/>
    </row>
    <row r="41" spans="1:12" ht="18">
      <c r="A41" s="307" t="s">
        <v>885</v>
      </c>
      <c r="B41" s="235"/>
      <c r="C41" s="235"/>
      <c r="D41" s="235"/>
      <c r="E41" s="235"/>
      <c r="F41" s="235"/>
      <c r="G41" s="235"/>
      <c r="H41" s="235"/>
      <c r="I41" s="235"/>
      <c r="J41" s="235"/>
      <c r="K41" s="235"/>
      <c r="L41" s="235"/>
    </row>
    <row r="43" spans="1:12">
      <c r="B43" s="71"/>
      <c r="C43" s="4">
        <v>1</v>
      </c>
      <c r="D43" s="9" t="s">
        <v>886</v>
      </c>
      <c r="E43" s="9"/>
      <c r="F43" s="9"/>
    </row>
    <row r="44" spans="1:12">
      <c r="D44" s="9"/>
      <c r="E44" s="302" t="s">
        <v>887</v>
      </c>
      <c r="F44" s="303"/>
      <c r="G44" s="301"/>
      <c r="H44" s="38" t="s">
        <v>888</v>
      </c>
    </row>
    <row r="45" spans="1:12">
      <c r="B45" s="71"/>
      <c r="E45" s="304" t="s">
        <v>889</v>
      </c>
      <c r="F45" s="305"/>
      <c r="G45" s="301"/>
      <c r="H45" s="140"/>
    </row>
    <row r="46" spans="1:12">
      <c r="E46" s="9"/>
      <c r="F46" s="5"/>
      <c r="H46" s="1"/>
    </row>
    <row r="47" spans="1:12">
      <c r="B47" s="71"/>
      <c r="C47" s="4">
        <v>2</v>
      </c>
      <c r="D47" s="9" t="s">
        <v>890</v>
      </c>
      <c r="E47" s="9"/>
      <c r="F47" s="9"/>
    </row>
    <row r="48" spans="1:12">
      <c r="D48" s="9"/>
      <c r="E48" s="302" t="s">
        <v>513</v>
      </c>
      <c r="F48" s="306"/>
      <c r="G48" s="301"/>
      <c r="H48" s="38" t="s">
        <v>825</v>
      </c>
    </row>
    <row r="49" spans="1:12" ht="14.85" customHeight="1">
      <c r="B49" s="71"/>
      <c r="D49" s="9"/>
      <c r="E49" s="247" t="s">
        <v>891</v>
      </c>
      <c r="F49" s="248"/>
      <c r="G49" s="266"/>
      <c r="H49" s="143">
        <f>(5*H45)/20</f>
        <v>0</v>
      </c>
    </row>
    <row r="50" spans="1:12">
      <c r="B50" s="71"/>
      <c r="D50" s="9"/>
      <c r="E50" s="247" t="s">
        <v>892</v>
      </c>
      <c r="F50" s="248"/>
      <c r="G50" s="266"/>
      <c r="H50" s="142">
        <f>H45-H49</f>
        <v>0</v>
      </c>
    </row>
    <row r="51" spans="1:12">
      <c r="B51" s="17"/>
      <c r="D51" s="9"/>
      <c r="E51" s="299" t="s">
        <v>548</v>
      </c>
      <c r="F51" s="300"/>
      <c r="G51" s="301"/>
      <c r="H51" s="141">
        <f>SUM(H49:H50)</f>
        <v>0</v>
      </c>
    </row>
    <row r="52" spans="1:12">
      <c r="B52" s="17"/>
      <c r="D52" s="9"/>
      <c r="E52" s="9"/>
      <c r="F52" s="5"/>
      <c r="G52" s="88"/>
    </row>
    <row r="53" spans="1:12">
      <c r="B53" s="71"/>
      <c r="C53" s="4">
        <v>3</v>
      </c>
      <c r="D53" s="9" t="s">
        <v>883</v>
      </c>
      <c r="E53" s="9"/>
      <c r="F53" s="9"/>
    </row>
    <row r="54" spans="1:12">
      <c r="C54" s="9"/>
      <c r="E54" s="9"/>
      <c r="F54" s="9"/>
    </row>
    <row r="55" spans="1:12">
      <c r="C55" s="4" t="s">
        <v>893</v>
      </c>
      <c r="E55" s="9"/>
      <c r="F55" s="9"/>
    </row>
    <row r="56" spans="1:12">
      <c r="C56" s="9"/>
      <c r="E56" s="9"/>
      <c r="F56" s="9"/>
    </row>
    <row r="57" spans="1:12">
      <c r="B57" s="67" t="s">
        <v>631</v>
      </c>
      <c r="C57" s="68"/>
      <c r="D57" s="68"/>
      <c r="E57" s="68"/>
      <c r="F57" s="71"/>
    </row>
    <row r="58" spans="1:12">
      <c r="D58" s="9"/>
      <c r="E58" s="9"/>
      <c r="F58" s="9"/>
    </row>
    <row r="59" spans="1:12" ht="18">
      <c r="A59" s="307" t="s">
        <v>894</v>
      </c>
      <c r="B59" s="235"/>
      <c r="C59" s="235"/>
      <c r="D59" s="235"/>
      <c r="E59" s="235"/>
      <c r="F59" s="235"/>
      <c r="G59" s="235"/>
      <c r="H59" s="235"/>
      <c r="I59" s="235"/>
      <c r="J59" s="235"/>
      <c r="K59" s="235"/>
      <c r="L59" s="235"/>
    </row>
    <row r="61" spans="1:12">
      <c r="B61" s="71"/>
      <c r="C61" s="4">
        <v>1</v>
      </c>
      <c r="D61" s="9" t="s">
        <v>886</v>
      </c>
      <c r="E61" s="9"/>
      <c r="F61" s="9"/>
    </row>
    <row r="62" spans="1:12">
      <c r="D62" s="9"/>
      <c r="E62" s="302" t="s">
        <v>887</v>
      </c>
      <c r="F62" s="303"/>
      <c r="G62" s="301"/>
      <c r="H62" s="38" t="s">
        <v>888</v>
      </c>
    </row>
    <row r="63" spans="1:12">
      <c r="B63" s="71"/>
      <c r="E63" s="304" t="s">
        <v>889</v>
      </c>
      <c r="F63" s="305"/>
      <c r="G63" s="301"/>
      <c r="H63" s="140"/>
    </row>
    <row r="64" spans="1:12">
      <c r="E64" s="9"/>
      <c r="F64" s="5"/>
      <c r="H64" s="1"/>
    </row>
    <row r="65" spans="1:12">
      <c r="B65" s="71"/>
      <c r="C65" s="4">
        <v>2</v>
      </c>
      <c r="D65" s="9" t="s">
        <v>895</v>
      </c>
      <c r="E65" s="9"/>
      <c r="F65" s="9"/>
    </row>
    <row r="66" spans="1:12">
      <c r="D66" s="9"/>
      <c r="E66" s="302" t="s">
        <v>513</v>
      </c>
      <c r="F66" s="306"/>
      <c r="G66" s="301"/>
      <c r="H66" s="38" t="s">
        <v>825</v>
      </c>
    </row>
    <row r="67" spans="1:12" ht="14.85" customHeight="1">
      <c r="B67" s="71"/>
      <c r="D67" s="9"/>
      <c r="E67" s="247" t="s">
        <v>896</v>
      </c>
      <c r="F67" s="248"/>
      <c r="G67" s="266"/>
      <c r="H67" s="143">
        <f>(0.02*H63)/10</f>
        <v>0</v>
      </c>
    </row>
    <row r="68" spans="1:12">
      <c r="B68" s="71"/>
      <c r="D68" s="9"/>
      <c r="E68" s="247" t="s">
        <v>660</v>
      </c>
      <c r="F68" s="248"/>
      <c r="G68" s="266"/>
      <c r="H68" s="142">
        <f>H63-H67</f>
        <v>0</v>
      </c>
    </row>
    <row r="69" spans="1:12">
      <c r="B69" s="17"/>
      <c r="D69" s="9"/>
      <c r="E69" s="299" t="s">
        <v>548</v>
      </c>
      <c r="F69" s="300"/>
      <c r="G69" s="301"/>
      <c r="H69" s="141">
        <f>SUM(H67:H68)</f>
        <v>0</v>
      </c>
    </row>
    <row r="70" spans="1:12">
      <c r="B70" s="17"/>
      <c r="D70" s="9"/>
      <c r="E70" s="9"/>
      <c r="F70" s="5"/>
      <c r="G70" s="88"/>
    </row>
    <row r="71" spans="1:12">
      <c r="B71" s="71"/>
      <c r="C71" s="4">
        <v>3</v>
      </c>
      <c r="D71" s="9" t="s">
        <v>883</v>
      </c>
      <c r="E71" s="9"/>
      <c r="F71" s="9"/>
    </row>
    <row r="72" spans="1:12">
      <c r="C72" s="9"/>
      <c r="E72" s="9"/>
      <c r="F72" s="9"/>
    </row>
    <row r="73" spans="1:12">
      <c r="C73" s="4" t="s">
        <v>893</v>
      </c>
      <c r="E73" s="9"/>
      <c r="F73" s="9"/>
    </row>
    <row r="74" spans="1:12">
      <c r="C74" s="9"/>
      <c r="E74" s="9"/>
      <c r="F74" s="9"/>
    </row>
    <row r="75" spans="1:12">
      <c r="B75" s="67" t="s">
        <v>631</v>
      </c>
      <c r="C75" s="68"/>
      <c r="D75" s="68"/>
      <c r="E75" s="68"/>
      <c r="F75" s="71"/>
    </row>
    <row r="76" spans="1:12">
      <c r="D76" s="9"/>
      <c r="E76" s="9"/>
      <c r="F76" s="9"/>
    </row>
    <row r="77" spans="1:12" ht="18">
      <c r="A77" s="201" t="s">
        <v>897</v>
      </c>
      <c r="B77" s="234"/>
      <c r="C77" s="234"/>
      <c r="D77" s="234"/>
      <c r="E77" s="234"/>
      <c r="F77" s="234"/>
      <c r="G77" s="234"/>
      <c r="H77" s="234"/>
      <c r="I77" s="234"/>
      <c r="J77" s="234"/>
      <c r="K77" s="234"/>
      <c r="L77" s="234"/>
    </row>
  </sheetData>
  <sheetProtection algorithmName="SHA-512" hashValue="C54Cv0V7n3BIK6wVmc7KHIqDbv4RLHlbXLartr1NpTBuK/TtVoAneB9XP5KVHqcevVWQzZ1vPD+bcGZ8iSDorg==" saltValue="gDsQEqfoRl3XoN0HVc1Q2A==" spinCount="100000" sheet="1" objects="1" scenarios="1"/>
  <mergeCells count="46">
    <mergeCell ref="K15:L15"/>
    <mergeCell ref="E14:F14"/>
    <mergeCell ref="E10:F10"/>
    <mergeCell ref="I10:J10"/>
    <mergeCell ref="K10:L10"/>
    <mergeCell ref="E11:F11"/>
    <mergeCell ref="I11:J11"/>
    <mergeCell ref="K11:L11"/>
    <mergeCell ref="I14:J14"/>
    <mergeCell ref="K14:L14"/>
    <mergeCell ref="E12:F12"/>
    <mergeCell ref="I12:J12"/>
    <mergeCell ref="K12:L12"/>
    <mergeCell ref="E13:F13"/>
    <mergeCell ref="I13:J13"/>
    <mergeCell ref="K13:L13"/>
    <mergeCell ref="A1:L1"/>
    <mergeCell ref="B3:E3"/>
    <mergeCell ref="H3:L3"/>
    <mergeCell ref="B4:E4"/>
    <mergeCell ref="H4:L4"/>
    <mergeCell ref="B5:E5"/>
    <mergeCell ref="A7:L7"/>
    <mergeCell ref="E62:G62"/>
    <mergeCell ref="A77:L77"/>
    <mergeCell ref="E69:G69"/>
    <mergeCell ref="E68:G68"/>
    <mergeCell ref="E67:G67"/>
    <mergeCell ref="E66:G66"/>
    <mergeCell ref="E63:G63"/>
    <mergeCell ref="A59:L59"/>
    <mergeCell ref="E50:G50"/>
    <mergeCell ref="E15:F15"/>
    <mergeCell ref="I15:J15"/>
    <mergeCell ref="C37:L37"/>
    <mergeCell ref="C21:L21"/>
    <mergeCell ref="E49:G49"/>
    <mergeCell ref="E18:F18"/>
    <mergeCell ref="E20:F20"/>
    <mergeCell ref="E19:F19"/>
    <mergeCell ref="E51:G51"/>
    <mergeCell ref="E44:G44"/>
    <mergeCell ref="E45:G45"/>
    <mergeCell ref="E48:G48"/>
    <mergeCell ref="A27:L27"/>
    <mergeCell ref="A41:L41"/>
  </mergeCells>
  <pageMargins left="0.70866141732283472" right="0.70866141732283472" top="0.74803149606299213" bottom="0.74803149606299213" header="0.31496062992125984" footer="0.31496062992125984"/>
  <pageSetup paperSize="9" scale="60" fitToHeight="0" orientation="portrait" r:id="rId1"/>
  <headerFooter>
    <oddHeader>&amp;R&amp;G</oddHeader>
    <oddFooter>&amp;L&amp;8Version: 1.0&amp;C&amp;8&amp;P of &amp;N&amp;R&amp;8Revidováno: září 2023</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2D97F-351E-42C9-ABB8-50B6124829E9}">
  <sheetPr codeName="Sheet18">
    <pageSetUpPr fitToPage="1"/>
  </sheetPr>
  <dimension ref="A1:O87"/>
  <sheetViews>
    <sheetView view="pageLayout" topLeftCell="A56" zoomScaleNormal="100" workbookViewId="0">
      <selection activeCell="O72" sqref="O72"/>
    </sheetView>
  </sheetViews>
  <sheetFormatPr defaultColWidth="8.5546875" defaultRowHeight="14.4"/>
  <cols>
    <col min="1" max="4" width="2.5546875" style="4" customWidth="1"/>
    <col min="5" max="5" width="5.5546875" style="4" customWidth="1"/>
    <col min="6" max="6" width="14.44140625" style="4" customWidth="1"/>
    <col min="7" max="7" width="28.44140625" style="4" customWidth="1"/>
    <col min="8" max="8" width="17.5546875" style="4" customWidth="1"/>
    <col min="9" max="9" width="12.5546875" style="4" customWidth="1"/>
    <col min="10" max="10" width="13.44140625" style="4" customWidth="1"/>
    <col min="11" max="11" width="6.5546875" style="4" customWidth="1"/>
    <col min="12" max="12" width="26.5546875" style="4" customWidth="1"/>
    <col min="13" max="16384" width="8.5546875" style="4"/>
  </cols>
  <sheetData>
    <row r="1" spans="1:15" s="15" customFormat="1" ht="18">
      <c r="A1" s="198" t="s">
        <v>898</v>
      </c>
      <c r="B1" s="234"/>
      <c r="C1" s="234"/>
      <c r="D1" s="234"/>
      <c r="E1" s="234"/>
      <c r="F1" s="234"/>
      <c r="G1" s="234"/>
      <c r="H1" s="234"/>
      <c r="I1" s="234"/>
      <c r="J1" s="234"/>
      <c r="K1" s="234"/>
      <c r="L1" s="234"/>
      <c r="M1"/>
      <c r="O1"/>
    </row>
    <row r="2" spans="1:15">
      <c r="C2" s="6"/>
      <c r="D2" s="7"/>
      <c r="E2" s="7"/>
      <c r="F2" s="7"/>
    </row>
    <row r="3" spans="1:15">
      <c r="B3" s="206" t="s">
        <v>899</v>
      </c>
      <c r="C3" s="207"/>
      <c r="D3" s="207"/>
      <c r="E3" s="207"/>
      <c r="F3" s="140"/>
      <c r="H3" s="311" t="s">
        <v>867</v>
      </c>
      <c r="I3" s="226"/>
      <c r="J3" s="226"/>
      <c r="K3" s="226"/>
      <c r="L3" s="227"/>
    </row>
    <row r="4" spans="1:15">
      <c r="B4" s="228" t="s">
        <v>369</v>
      </c>
      <c r="C4" s="229"/>
      <c r="D4" s="229"/>
      <c r="E4" s="230"/>
      <c r="F4" s="82"/>
      <c r="H4" s="312" t="s">
        <v>900</v>
      </c>
      <c r="I4" s="226"/>
      <c r="J4" s="226"/>
      <c r="K4" s="226"/>
      <c r="L4" s="227"/>
    </row>
    <row r="5" spans="1:15">
      <c r="A5" s="5"/>
      <c r="B5" s="231" t="s">
        <v>370</v>
      </c>
      <c r="C5" s="232"/>
      <c r="D5" s="232"/>
      <c r="E5" s="233"/>
      <c r="F5" s="82"/>
    </row>
    <row r="6" spans="1:15">
      <c r="A6" s="5"/>
      <c r="B6" s="67" t="s">
        <v>510</v>
      </c>
      <c r="C6" s="68"/>
      <c r="D6" s="68"/>
      <c r="E6" s="68"/>
      <c r="F6" s="82"/>
    </row>
    <row r="7" spans="1:15">
      <c r="C7" s="6"/>
      <c r="D7" s="7"/>
      <c r="E7" s="7"/>
      <c r="F7" s="7"/>
    </row>
    <row r="8" spans="1:15" ht="18">
      <c r="A8" s="201" t="s">
        <v>511</v>
      </c>
      <c r="B8" s="235"/>
      <c r="C8" s="235"/>
      <c r="D8" s="235"/>
      <c r="E8" s="235"/>
      <c r="F8" s="235"/>
      <c r="G8" s="235"/>
      <c r="H8" s="235"/>
      <c r="I8" s="235"/>
      <c r="J8" s="235"/>
      <c r="K8" s="235"/>
      <c r="L8" s="235"/>
    </row>
    <row r="9" spans="1:15">
      <c r="A9" s="4" t="s">
        <v>870</v>
      </c>
    </row>
    <row r="10" spans="1:15">
      <c r="B10" s="71"/>
      <c r="C10" s="4">
        <v>1</v>
      </c>
      <c r="D10" s="16" t="s">
        <v>650</v>
      </c>
      <c r="E10" s="9"/>
    </row>
    <row r="11" spans="1:15" s="17" customFormat="1" ht="28.8">
      <c r="C11" s="18"/>
      <c r="E11" s="257" t="s">
        <v>513</v>
      </c>
      <c r="F11" s="256"/>
      <c r="G11" s="36" t="s">
        <v>514</v>
      </c>
      <c r="H11" s="37" t="s">
        <v>515</v>
      </c>
      <c r="I11" s="314" t="s">
        <v>710</v>
      </c>
      <c r="J11" s="209"/>
      <c r="K11" s="315" t="s">
        <v>518</v>
      </c>
      <c r="L11" s="209"/>
    </row>
    <row r="12" spans="1:15" ht="43.5" customHeight="1">
      <c r="B12" s="71"/>
      <c r="E12" s="253" t="s">
        <v>901</v>
      </c>
      <c r="F12" s="254"/>
      <c r="G12" s="83"/>
      <c r="H12" s="75" t="s">
        <v>902</v>
      </c>
      <c r="I12" s="323" t="e">
        <f>H43</f>
        <v>#DIV/0!</v>
      </c>
      <c r="J12" s="319"/>
      <c r="K12" s="298" t="s">
        <v>873</v>
      </c>
      <c r="L12" s="313"/>
    </row>
    <row r="13" spans="1:15" ht="39" customHeight="1">
      <c r="B13" s="71"/>
      <c r="E13" s="241" t="s">
        <v>735</v>
      </c>
      <c r="F13" s="248"/>
      <c r="G13" s="83"/>
      <c r="H13" s="75" t="s">
        <v>699</v>
      </c>
      <c r="I13" s="318">
        <f>G22</f>
        <v>5</v>
      </c>
      <c r="J13" s="319"/>
      <c r="K13" s="298" t="s">
        <v>816</v>
      </c>
      <c r="L13" s="313"/>
    </row>
    <row r="14" spans="1:15" ht="43.5" customHeight="1">
      <c r="B14" s="71"/>
      <c r="E14" s="241" t="s">
        <v>547</v>
      </c>
      <c r="F14" s="248"/>
      <c r="G14" s="83"/>
      <c r="H14" s="75" t="s">
        <v>794</v>
      </c>
      <c r="I14" s="318">
        <f>G21</f>
        <v>45</v>
      </c>
      <c r="J14" s="319"/>
      <c r="K14" s="298" t="s">
        <v>524</v>
      </c>
      <c r="L14" s="313"/>
    </row>
    <row r="15" spans="1:15" ht="42" customHeight="1">
      <c r="B15" s="71"/>
      <c r="E15" s="253" t="s">
        <v>903</v>
      </c>
      <c r="F15" s="254"/>
      <c r="G15" s="83"/>
      <c r="H15" s="75" t="s">
        <v>872</v>
      </c>
      <c r="I15" s="323">
        <f>990+H77</f>
        <v>1226.4000000000001</v>
      </c>
      <c r="J15" s="319"/>
      <c r="K15" s="298" t="s">
        <v>873</v>
      </c>
      <c r="L15" s="313"/>
    </row>
    <row r="16" spans="1:15" ht="30.6" customHeight="1">
      <c r="B16" s="71"/>
      <c r="E16" s="241" t="s">
        <v>660</v>
      </c>
      <c r="F16" s="248"/>
      <c r="G16" s="83"/>
      <c r="H16" s="75" t="s">
        <v>654</v>
      </c>
      <c r="I16" s="323" t="e">
        <f>H42</f>
        <v>#DIV/0!</v>
      </c>
      <c r="J16" s="319"/>
      <c r="K16" s="298" t="s">
        <v>816</v>
      </c>
      <c r="L16" s="313"/>
    </row>
    <row r="17" spans="1:12" ht="48.75" customHeight="1">
      <c r="B17" s="71"/>
      <c r="E17" s="316" t="s">
        <v>904</v>
      </c>
      <c r="F17" s="317"/>
      <c r="G17" s="83"/>
      <c r="H17" s="75" t="s">
        <v>872</v>
      </c>
      <c r="I17" s="323">
        <f>H76</f>
        <v>3.6</v>
      </c>
      <c r="J17" s="319"/>
      <c r="K17" s="298" t="s">
        <v>873</v>
      </c>
      <c r="L17" s="313"/>
    </row>
    <row r="18" spans="1:12">
      <c r="B18" s="17"/>
      <c r="E18" s="5"/>
      <c r="F18" s="5"/>
      <c r="G18" s="5"/>
      <c r="H18" s="149"/>
      <c r="I18" s="148"/>
      <c r="K18" s="74"/>
      <c r="L18" s="5"/>
    </row>
    <row r="19" spans="1:12" s="74" customFormat="1">
      <c r="B19" s="71"/>
      <c r="C19" s="4">
        <v>2</v>
      </c>
      <c r="D19" s="16" t="s">
        <v>875</v>
      </c>
      <c r="E19" s="9"/>
      <c r="G19" s="144"/>
      <c r="K19" s="110"/>
    </row>
    <row r="20" spans="1:12" s="74" customFormat="1">
      <c r="B20" s="17"/>
      <c r="C20" s="4"/>
      <c r="D20" s="16"/>
      <c r="E20" s="255" t="s">
        <v>513</v>
      </c>
      <c r="F20" s="265"/>
      <c r="G20" s="38" t="s">
        <v>825</v>
      </c>
      <c r="K20" s="110"/>
    </row>
    <row r="21" spans="1:12">
      <c r="B21" s="71"/>
      <c r="E21" s="241" t="s">
        <v>547</v>
      </c>
      <c r="F21" s="248"/>
      <c r="G21" s="69">
        <v>45</v>
      </c>
    </row>
    <row r="22" spans="1:12">
      <c r="B22" s="71"/>
      <c r="E22" s="241" t="s">
        <v>735</v>
      </c>
      <c r="F22" s="248"/>
      <c r="G22" s="69">
        <v>5</v>
      </c>
    </row>
    <row r="23" spans="1:12" ht="32.1" customHeight="1">
      <c r="B23" s="133"/>
      <c r="C23" s="287" t="s">
        <v>905</v>
      </c>
      <c r="D23" s="262"/>
      <c r="E23" s="262"/>
      <c r="F23" s="262"/>
      <c r="G23" s="262"/>
      <c r="H23" s="262"/>
      <c r="I23" s="262"/>
      <c r="J23" s="262"/>
      <c r="K23" s="262"/>
      <c r="L23" s="262"/>
    </row>
    <row r="24" spans="1:12">
      <c r="D24" s="9"/>
      <c r="E24" s="9"/>
      <c r="F24" s="9"/>
    </row>
    <row r="25" spans="1:12">
      <c r="B25" s="71"/>
      <c r="C25" s="4">
        <v>3</v>
      </c>
      <c r="D25" s="9" t="s">
        <v>537</v>
      </c>
      <c r="E25" s="9"/>
      <c r="F25" s="9"/>
    </row>
    <row r="26" spans="1:12">
      <c r="B26" s="71"/>
      <c r="C26" s="4">
        <v>4</v>
      </c>
      <c r="D26" s="9" t="s">
        <v>538</v>
      </c>
      <c r="E26" s="9"/>
      <c r="F26" s="9"/>
    </row>
    <row r="27" spans="1:12" s="74" customFormat="1">
      <c r="B27" s="71"/>
      <c r="C27" s="4"/>
      <c r="D27" s="4" t="s">
        <v>541</v>
      </c>
      <c r="E27" s="9"/>
      <c r="G27" s="144"/>
      <c r="K27" s="110"/>
    </row>
    <row r="29" spans="1:12" ht="18">
      <c r="A29" s="201" t="s">
        <v>906</v>
      </c>
      <c r="B29" s="235"/>
      <c r="C29" s="235"/>
      <c r="D29" s="235"/>
      <c r="E29" s="235"/>
      <c r="F29" s="235"/>
      <c r="G29" s="235"/>
      <c r="H29" s="235"/>
      <c r="I29" s="235"/>
      <c r="J29" s="235"/>
      <c r="K29" s="235"/>
      <c r="L29" s="235"/>
    </row>
    <row r="31" spans="1:12">
      <c r="B31" s="71"/>
      <c r="C31" s="4">
        <v>1</v>
      </c>
      <c r="D31" s="9" t="s">
        <v>886</v>
      </c>
      <c r="E31" s="9"/>
      <c r="F31" s="9"/>
    </row>
    <row r="32" spans="1:12">
      <c r="D32" s="9"/>
      <c r="E32" s="302" t="s">
        <v>887</v>
      </c>
      <c r="F32" s="303"/>
      <c r="G32" s="301"/>
      <c r="H32" s="38" t="s">
        <v>888</v>
      </c>
    </row>
    <row r="33" spans="1:12">
      <c r="B33" s="84"/>
      <c r="D33" s="9"/>
      <c r="E33" s="304" t="s">
        <v>907</v>
      </c>
      <c r="F33" s="305"/>
      <c r="G33" s="301"/>
      <c r="H33" s="140"/>
    </row>
    <row r="34" spans="1:12">
      <c r="B34" s="71"/>
      <c r="D34" s="9"/>
      <c r="E34" s="304" t="s">
        <v>908</v>
      </c>
      <c r="F34" s="305"/>
      <c r="G34" s="301"/>
      <c r="H34" s="140">
        <v>800</v>
      </c>
    </row>
    <row r="35" spans="1:12">
      <c r="D35" s="9"/>
      <c r="E35" s="299" t="s">
        <v>909</v>
      </c>
      <c r="F35" s="321"/>
      <c r="G35" s="322"/>
      <c r="H35" s="147">
        <f>((H33)/(660*H34))*10^6</f>
        <v>0</v>
      </c>
    </row>
    <row r="36" spans="1:12">
      <c r="B36" s="71"/>
      <c r="D36" s="9"/>
      <c r="E36" s="304" t="s">
        <v>889</v>
      </c>
      <c r="F36" s="303"/>
      <c r="G36" s="301"/>
      <c r="H36" s="140">
        <v>30</v>
      </c>
    </row>
    <row r="38" spans="1:12" ht="18">
      <c r="A38" s="201" t="s">
        <v>910</v>
      </c>
      <c r="B38" s="235"/>
      <c r="C38" s="235"/>
      <c r="D38" s="235"/>
      <c r="E38" s="235"/>
      <c r="F38" s="235"/>
      <c r="G38" s="235"/>
      <c r="H38" s="235"/>
      <c r="I38" s="235"/>
      <c r="J38" s="235"/>
      <c r="K38" s="235"/>
      <c r="L38" s="235"/>
    </row>
    <row r="39" spans="1:12">
      <c r="D39" s="9"/>
      <c r="E39" s="9"/>
      <c r="H39" s="1"/>
    </row>
    <row r="40" spans="1:12">
      <c r="B40" s="71"/>
      <c r="C40" s="4">
        <v>1</v>
      </c>
      <c r="D40" s="9" t="s">
        <v>911</v>
      </c>
      <c r="E40" s="9"/>
      <c r="F40" s="9"/>
    </row>
    <row r="41" spans="1:12">
      <c r="D41" s="9"/>
      <c r="E41" s="302" t="s">
        <v>513</v>
      </c>
      <c r="F41" s="306"/>
      <c r="G41" s="301"/>
      <c r="H41" s="38" t="s">
        <v>825</v>
      </c>
    </row>
    <row r="42" spans="1:12">
      <c r="B42" s="71"/>
      <c r="D42" s="9"/>
      <c r="E42" s="304" t="s">
        <v>660</v>
      </c>
      <c r="F42" s="305"/>
      <c r="G42" s="301"/>
      <c r="H42" s="142" t="e">
        <f>H36-H43</f>
        <v>#DIV/0!</v>
      </c>
    </row>
    <row r="43" spans="1:12">
      <c r="B43" s="71"/>
      <c r="D43" s="9"/>
      <c r="E43" s="280" t="s">
        <v>901</v>
      </c>
      <c r="F43" s="320"/>
      <c r="G43" s="301"/>
      <c r="H43" s="143" t="e">
        <f>(4*H36)/H35</f>
        <v>#DIV/0!</v>
      </c>
    </row>
    <row r="44" spans="1:12">
      <c r="B44" s="17"/>
      <c r="D44" s="9"/>
      <c r="E44" s="299" t="s">
        <v>548</v>
      </c>
      <c r="F44" s="300"/>
      <c r="G44" s="301"/>
      <c r="H44" s="145" t="e">
        <f>SUM(H42:H43)</f>
        <v>#DIV/0!</v>
      </c>
    </row>
    <row r="45" spans="1:12">
      <c r="B45" s="17"/>
      <c r="D45" s="9"/>
      <c r="E45" s="9"/>
      <c r="F45" s="5"/>
      <c r="G45" s="88"/>
    </row>
    <row r="46" spans="1:12">
      <c r="B46" s="71"/>
      <c r="C46" s="4">
        <v>2</v>
      </c>
      <c r="D46" s="9" t="s">
        <v>912</v>
      </c>
      <c r="E46" s="9"/>
      <c r="F46" s="9"/>
    </row>
    <row r="48" spans="1:12" ht="18">
      <c r="A48" s="201" t="s">
        <v>913</v>
      </c>
      <c r="B48" s="235"/>
      <c r="C48" s="235"/>
      <c r="D48" s="235"/>
      <c r="E48" s="235"/>
      <c r="F48" s="235"/>
      <c r="G48" s="235"/>
      <c r="H48" s="235"/>
      <c r="I48" s="235"/>
      <c r="J48" s="235"/>
      <c r="K48" s="235"/>
      <c r="L48" s="235"/>
    </row>
    <row r="50" spans="1:12">
      <c r="B50" s="71"/>
      <c r="C50" s="4">
        <v>1</v>
      </c>
      <c r="D50" s="4" t="s">
        <v>914</v>
      </c>
    </row>
    <row r="51" spans="1:12">
      <c r="B51" s="71"/>
      <c r="C51" s="4">
        <v>2</v>
      </c>
      <c r="D51" s="4" t="s">
        <v>915</v>
      </c>
    </row>
    <row r="52" spans="1:12">
      <c r="B52" s="71"/>
      <c r="C52" s="4">
        <v>3</v>
      </c>
      <c r="D52" s="9" t="s">
        <v>881</v>
      </c>
      <c r="E52" s="9"/>
      <c r="F52" s="9"/>
    </row>
    <row r="53" spans="1:12">
      <c r="B53" s="71"/>
      <c r="C53" s="4">
        <v>4</v>
      </c>
      <c r="D53" s="9" t="s">
        <v>690</v>
      </c>
      <c r="E53" s="9"/>
      <c r="F53" s="9"/>
    </row>
    <row r="54" spans="1:12">
      <c r="B54" s="71"/>
      <c r="C54" s="4">
        <v>5</v>
      </c>
      <c r="D54" s="9" t="s">
        <v>916</v>
      </c>
      <c r="E54" s="9"/>
      <c r="F54" s="9"/>
    </row>
    <row r="55" spans="1:12">
      <c r="B55" s="71"/>
      <c r="C55" s="4">
        <v>6</v>
      </c>
      <c r="D55" s="9" t="s">
        <v>917</v>
      </c>
      <c r="F55" s="9"/>
    </row>
    <row r="56" spans="1:12">
      <c r="D56" s="9"/>
      <c r="E56" s="9"/>
      <c r="F56" s="9"/>
    </row>
    <row r="57" spans="1:12">
      <c r="C57" s="4" t="s">
        <v>918</v>
      </c>
      <c r="E57" s="9"/>
      <c r="F57" s="9"/>
    </row>
    <row r="58" spans="1:12">
      <c r="E58" s="9"/>
      <c r="F58" s="9"/>
    </row>
    <row r="59" spans="1:12" ht="18">
      <c r="A59" s="201" t="s">
        <v>919</v>
      </c>
      <c r="B59" s="235"/>
      <c r="C59" s="235"/>
      <c r="D59" s="235"/>
      <c r="E59" s="235"/>
      <c r="F59" s="235"/>
      <c r="G59" s="235"/>
      <c r="H59" s="235"/>
      <c r="I59" s="235"/>
      <c r="J59" s="235"/>
      <c r="K59" s="235"/>
      <c r="L59" s="235"/>
    </row>
    <row r="61" spans="1:12">
      <c r="B61" s="71"/>
      <c r="C61" s="4">
        <v>1</v>
      </c>
      <c r="D61" s="9" t="s">
        <v>886</v>
      </c>
      <c r="E61" s="9"/>
      <c r="F61" s="9"/>
    </row>
    <row r="62" spans="1:12">
      <c r="D62" s="9"/>
      <c r="E62" s="302" t="s">
        <v>887</v>
      </c>
      <c r="F62" s="303"/>
      <c r="G62" s="301"/>
      <c r="H62" s="38" t="s">
        <v>888</v>
      </c>
    </row>
    <row r="63" spans="1:12">
      <c r="B63" s="71"/>
      <c r="D63" s="9"/>
      <c r="E63" s="304" t="s">
        <v>920</v>
      </c>
      <c r="F63" s="305"/>
      <c r="G63" s="301"/>
      <c r="H63" s="140">
        <v>1</v>
      </c>
    </row>
    <row r="64" spans="1:12">
      <c r="B64" s="71"/>
      <c r="D64" s="9"/>
      <c r="E64" s="304" t="s">
        <v>921</v>
      </c>
      <c r="F64" s="305"/>
      <c r="G64" s="301"/>
      <c r="H64" s="140">
        <v>12</v>
      </c>
    </row>
    <row r="65" spans="1:12">
      <c r="B65" s="71"/>
      <c r="E65" s="304" t="s">
        <v>922</v>
      </c>
      <c r="F65" s="305"/>
      <c r="G65" s="301"/>
      <c r="H65" s="146">
        <v>0.01</v>
      </c>
    </row>
    <row r="66" spans="1:12">
      <c r="B66" s="71"/>
      <c r="E66" s="304" t="s">
        <v>923</v>
      </c>
      <c r="F66" s="305"/>
      <c r="G66" s="301"/>
      <c r="H66" s="140">
        <v>600</v>
      </c>
    </row>
    <row r="67" spans="1:12" ht="21.75" customHeight="1">
      <c r="E67" s="9"/>
      <c r="F67" s="9"/>
    </row>
    <row r="68" spans="1:12" ht="18">
      <c r="A68" s="201" t="s">
        <v>924</v>
      </c>
      <c r="B68" s="235"/>
      <c r="C68" s="235"/>
      <c r="D68" s="235"/>
      <c r="E68" s="235"/>
      <c r="F68" s="235"/>
      <c r="G68" s="235"/>
      <c r="H68" s="235"/>
      <c r="I68" s="235"/>
      <c r="J68" s="235"/>
      <c r="K68" s="235"/>
      <c r="L68" s="235"/>
    </row>
    <row r="69" spans="1:12" ht="25.5" customHeight="1"/>
    <row r="70" spans="1:12">
      <c r="B70" s="71"/>
      <c r="C70" s="4">
        <v>1</v>
      </c>
      <c r="D70" s="9" t="s">
        <v>925</v>
      </c>
      <c r="E70" s="9"/>
      <c r="F70" s="9"/>
    </row>
    <row r="71" spans="1:12">
      <c r="D71" s="9"/>
      <c r="E71" s="255" t="s">
        <v>513</v>
      </c>
      <c r="F71" s="265"/>
      <c r="G71" s="266"/>
      <c r="H71" s="38" t="s">
        <v>825</v>
      </c>
    </row>
    <row r="72" spans="1:12">
      <c r="B72" s="71"/>
      <c r="D72" s="9"/>
      <c r="E72" s="247" t="s">
        <v>926</v>
      </c>
      <c r="F72" s="248"/>
      <c r="G72" s="266"/>
      <c r="H72" s="142">
        <f>((H64*H66)/20)/H63</f>
        <v>360</v>
      </c>
    </row>
    <row r="73" spans="1:12">
      <c r="B73" s="71"/>
      <c r="D73" s="9"/>
      <c r="E73" s="247" t="s">
        <v>927</v>
      </c>
      <c r="F73" s="248"/>
      <c r="G73" s="266"/>
      <c r="H73" s="142">
        <f>IF($H$63=1,0,IF($H$63&gt;1,$H$72,""))</f>
        <v>0</v>
      </c>
    </row>
    <row r="74" spans="1:12">
      <c r="B74" s="71"/>
      <c r="D74" s="9"/>
      <c r="E74" s="247" t="s">
        <v>928</v>
      </c>
      <c r="F74" s="248"/>
      <c r="G74" s="266"/>
      <c r="H74" s="142">
        <f>IF($H$63=2,0,IF($H$63&gt;2,$H$72,0))</f>
        <v>0</v>
      </c>
    </row>
    <row r="75" spans="1:12">
      <c r="B75" s="71"/>
      <c r="D75" s="9"/>
      <c r="E75" s="247" t="s">
        <v>929</v>
      </c>
      <c r="F75" s="248"/>
      <c r="G75" s="266"/>
      <c r="H75" s="142">
        <f>IF($H$63=3,0,IF($H$63&gt;3,$H$72,0))</f>
        <v>0</v>
      </c>
    </row>
    <row r="76" spans="1:12">
      <c r="B76" s="71"/>
      <c r="D76" s="9"/>
      <c r="E76" s="247" t="s">
        <v>891</v>
      </c>
      <c r="F76" s="248"/>
      <c r="G76" s="266"/>
      <c r="H76" s="142">
        <f>((H64*H66)/20)*H65</f>
        <v>3.6</v>
      </c>
    </row>
    <row r="77" spans="1:12">
      <c r="B77" s="71"/>
      <c r="D77" s="9"/>
      <c r="E77" s="247" t="s">
        <v>892</v>
      </c>
      <c r="F77" s="248"/>
      <c r="G77" s="266"/>
      <c r="H77" s="142">
        <f>H66-(H72+H73+H74+H75+H76)</f>
        <v>236.39999999999998</v>
      </c>
    </row>
    <row r="78" spans="1:12">
      <c r="D78" s="9"/>
      <c r="E78" s="249" t="s">
        <v>548</v>
      </c>
      <c r="F78" s="250"/>
      <c r="G78" s="266"/>
      <c r="H78" s="145">
        <f>SUM(H72:H77)</f>
        <v>600</v>
      </c>
    </row>
    <row r="79" spans="1:12">
      <c r="D79" s="9"/>
      <c r="E79" s="9"/>
      <c r="F79" s="5"/>
      <c r="G79" s="1"/>
    </row>
    <row r="80" spans="1:12">
      <c r="B80" s="71"/>
      <c r="C80" s="4">
        <v>2</v>
      </c>
      <c r="D80" s="9" t="s">
        <v>930</v>
      </c>
    </row>
    <row r="81" spans="1:12">
      <c r="B81" s="71"/>
      <c r="C81" s="4">
        <v>3</v>
      </c>
      <c r="D81" s="4" t="s">
        <v>931</v>
      </c>
    </row>
    <row r="82" spans="1:12">
      <c r="C82" s="9"/>
      <c r="E82" s="9"/>
      <c r="F82" s="9"/>
    </row>
    <row r="83" spans="1:12">
      <c r="C83" s="4" t="s">
        <v>932</v>
      </c>
      <c r="E83" s="9"/>
      <c r="F83" s="9"/>
    </row>
    <row r="84" spans="1:12">
      <c r="C84" s="9"/>
      <c r="E84" s="9"/>
      <c r="F84" s="9"/>
    </row>
    <row r="85" spans="1:12">
      <c r="B85" s="67" t="s">
        <v>631</v>
      </c>
      <c r="C85" s="68"/>
      <c r="D85" s="68"/>
      <c r="E85" s="68"/>
      <c r="F85" s="71"/>
    </row>
    <row r="86" spans="1:12">
      <c r="D86" s="9"/>
      <c r="E86" s="9"/>
      <c r="F86" s="9"/>
    </row>
    <row r="87" spans="1:12" ht="18">
      <c r="A87" s="201" t="s">
        <v>933</v>
      </c>
      <c r="B87" s="235"/>
      <c r="C87" s="235"/>
      <c r="D87" s="235"/>
      <c r="E87" s="235"/>
      <c r="F87" s="235"/>
      <c r="G87" s="235"/>
      <c r="H87" s="235"/>
      <c r="I87" s="235"/>
      <c r="J87" s="235"/>
      <c r="K87" s="235"/>
      <c r="L87" s="235"/>
    </row>
  </sheetData>
  <sheetProtection algorithmName="SHA-512" hashValue="GNrPc9kXZNYd0QntiN3001KVdOMQkAO4rLBEhsnGg7Gu6IsBk7ydl0WHxApTAAR+JucId/DA9OTaGXRirD7ylQ==" saltValue="9c0QuywUZKjLli/ahmFDqw==" spinCount="100000" sheet="1" objects="1" scenarios="1"/>
  <mergeCells count="60">
    <mergeCell ref="A1:L1"/>
    <mergeCell ref="B3:E3"/>
    <mergeCell ref="B4:E4"/>
    <mergeCell ref="B5:E5"/>
    <mergeCell ref="A8:L8"/>
    <mergeCell ref="H3:L3"/>
    <mergeCell ref="H4:L4"/>
    <mergeCell ref="E11:F11"/>
    <mergeCell ref="K11:L11"/>
    <mergeCell ref="I11:J11"/>
    <mergeCell ref="E20:F20"/>
    <mergeCell ref="K13:L13"/>
    <mergeCell ref="K14:L14"/>
    <mergeCell ref="K15:L15"/>
    <mergeCell ref="E12:F12"/>
    <mergeCell ref="I12:J12"/>
    <mergeCell ref="K12:L12"/>
    <mergeCell ref="E17:F17"/>
    <mergeCell ref="I17:J17"/>
    <mergeCell ref="K17:L17"/>
    <mergeCell ref="I13:J13"/>
    <mergeCell ref="I14:J14"/>
    <mergeCell ref="I15:J15"/>
    <mergeCell ref="I16:J16"/>
    <mergeCell ref="K16:L16"/>
    <mergeCell ref="E15:F15"/>
    <mergeCell ref="E16:F16"/>
    <mergeCell ref="E13:F13"/>
    <mergeCell ref="E14:F14"/>
    <mergeCell ref="E41:G41"/>
    <mergeCell ref="E22:F22"/>
    <mergeCell ref="E32:G32"/>
    <mergeCell ref="A29:L29"/>
    <mergeCell ref="E21:F21"/>
    <mergeCell ref="E36:G36"/>
    <mergeCell ref="E35:G35"/>
    <mergeCell ref="A38:L38"/>
    <mergeCell ref="E33:G33"/>
    <mergeCell ref="E34:G34"/>
    <mergeCell ref="C23:L23"/>
    <mergeCell ref="A87:L87"/>
    <mergeCell ref="E62:G62"/>
    <mergeCell ref="E63:G63"/>
    <mergeCell ref="E71:G71"/>
    <mergeCell ref="E72:G72"/>
    <mergeCell ref="E78:G78"/>
    <mergeCell ref="A68:L68"/>
    <mergeCell ref="E64:G64"/>
    <mergeCell ref="E65:G65"/>
    <mergeCell ref="E66:G66"/>
    <mergeCell ref="E73:G73"/>
    <mergeCell ref="E74:G74"/>
    <mergeCell ref="E75:G75"/>
    <mergeCell ref="E76:G76"/>
    <mergeCell ref="E77:G77"/>
    <mergeCell ref="E42:G42"/>
    <mergeCell ref="E43:G43"/>
    <mergeCell ref="E44:G44"/>
    <mergeCell ref="A59:L59"/>
    <mergeCell ref="A48:L48"/>
  </mergeCells>
  <conditionalFormatting sqref="H73:H75">
    <cfRule type="cellIs" dxfId="2" priority="1" operator="between">
      <formula>0</formula>
      <formula>0</formula>
    </cfRule>
  </conditionalFormatting>
  <pageMargins left="0.70866141732283472" right="0.70866141732283472" top="0.74803149606299213" bottom="0.74803149606299213" header="0.31496062992125984" footer="0.31496062992125984"/>
  <pageSetup paperSize="9" scale="54" fitToHeight="0" orientation="portrait" r:id="rId1"/>
  <headerFooter>
    <oddHeader>&amp;R&amp;G</oddHeader>
    <oddFooter>&amp;L&amp;8Version: 1.0&amp;C&amp;8&amp;P of &amp;N&amp;R&amp;8Revidováno: září 2023</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88C64-F2F0-4377-8103-11FC621B244C}">
  <sheetPr codeName="Sheet19">
    <pageSetUpPr fitToPage="1"/>
  </sheetPr>
  <dimension ref="A1:O90"/>
  <sheetViews>
    <sheetView view="pageLayout" topLeftCell="A66" zoomScaleNormal="100" workbookViewId="0">
      <selection activeCell="O75" sqref="O75"/>
    </sheetView>
  </sheetViews>
  <sheetFormatPr defaultColWidth="8.5546875" defaultRowHeight="14.4"/>
  <cols>
    <col min="1" max="4" width="2.5546875" style="4" customWidth="1"/>
    <col min="5" max="5" width="5.5546875" style="4" customWidth="1"/>
    <col min="6" max="6" width="14.44140625" style="4" customWidth="1"/>
    <col min="7" max="7" width="28.44140625" style="4" customWidth="1"/>
    <col min="8" max="8" width="17.5546875" style="4" customWidth="1"/>
    <col min="9" max="9" width="12.5546875" style="4" customWidth="1"/>
    <col min="10" max="10" width="13.44140625" style="4" customWidth="1"/>
    <col min="11" max="11" width="6.5546875" style="4" customWidth="1"/>
    <col min="12" max="12" width="26.5546875" style="4" customWidth="1"/>
    <col min="13" max="16384" width="8.5546875" style="4"/>
  </cols>
  <sheetData>
    <row r="1" spans="1:15" s="15" customFormat="1" ht="18">
      <c r="A1" s="198" t="s">
        <v>934</v>
      </c>
      <c r="B1" s="234"/>
      <c r="C1" s="234"/>
      <c r="D1" s="234"/>
      <c r="E1" s="234"/>
      <c r="F1" s="234"/>
      <c r="G1" s="234"/>
      <c r="H1" s="234"/>
      <c r="I1" s="234"/>
      <c r="J1" s="234"/>
      <c r="K1" s="234"/>
      <c r="L1" s="234"/>
      <c r="M1"/>
      <c r="O1"/>
    </row>
    <row r="2" spans="1:15">
      <c r="C2" s="6"/>
      <c r="D2" s="7"/>
      <c r="E2" s="7"/>
      <c r="F2" s="7"/>
    </row>
    <row r="3" spans="1:15">
      <c r="B3" s="206" t="s">
        <v>899</v>
      </c>
      <c r="C3" s="207"/>
      <c r="D3" s="207"/>
      <c r="E3" s="207"/>
      <c r="F3" s="140"/>
      <c r="H3" s="311" t="s">
        <v>867</v>
      </c>
      <c r="I3" s="226"/>
      <c r="J3" s="226"/>
      <c r="K3" s="226"/>
      <c r="L3" s="227"/>
    </row>
    <row r="4" spans="1:15">
      <c r="B4" s="228" t="s">
        <v>369</v>
      </c>
      <c r="C4" s="229"/>
      <c r="D4" s="229"/>
      <c r="E4" s="230"/>
      <c r="F4" s="82"/>
      <c r="H4" s="312" t="s">
        <v>900</v>
      </c>
      <c r="I4" s="226"/>
      <c r="J4" s="226"/>
      <c r="K4" s="226"/>
      <c r="L4" s="227"/>
    </row>
    <row r="5" spans="1:15">
      <c r="A5" s="5"/>
      <c r="B5" s="231" t="s">
        <v>370</v>
      </c>
      <c r="C5" s="232"/>
      <c r="D5" s="232"/>
      <c r="E5" s="233"/>
      <c r="F5" s="82"/>
    </row>
    <row r="6" spans="1:15">
      <c r="A6" s="5"/>
      <c r="B6" s="67" t="s">
        <v>510</v>
      </c>
      <c r="C6" s="68"/>
      <c r="D6" s="68"/>
      <c r="E6" s="68"/>
      <c r="F6" s="82"/>
    </row>
    <row r="7" spans="1:15">
      <c r="C7" s="6"/>
      <c r="D7" s="7"/>
      <c r="E7" s="7"/>
      <c r="F7" s="7"/>
    </row>
    <row r="8" spans="1:15" ht="18">
      <c r="A8" s="201" t="s">
        <v>511</v>
      </c>
      <c r="B8" s="235"/>
      <c r="C8" s="235"/>
      <c r="D8" s="235"/>
      <c r="E8" s="235"/>
      <c r="F8" s="235"/>
      <c r="G8" s="235"/>
      <c r="H8" s="235"/>
      <c r="I8" s="235"/>
      <c r="J8" s="235"/>
      <c r="K8" s="235"/>
      <c r="L8" s="235"/>
    </row>
    <row r="9" spans="1:15">
      <c r="A9" s="4" t="s">
        <v>870</v>
      </c>
    </row>
    <row r="10" spans="1:15">
      <c r="B10" s="71"/>
      <c r="C10" s="4">
        <v>1</v>
      </c>
      <c r="D10" s="16" t="s">
        <v>650</v>
      </c>
      <c r="E10" s="9"/>
    </row>
    <row r="11" spans="1:15" s="17" customFormat="1" ht="28.8">
      <c r="C11" s="18"/>
      <c r="E11" s="257" t="s">
        <v>513</v>
      </c>
      <c r="F11" s="256"/>
      <c r="G11" s="36" t="s">
        <v>514</v>
      </c>
      <c r="H11" s="37" t="s">
        <v>515</v>
      </c>
      <c r="I11" s="314" t="s">
        <v>710</v>
      </c>
      <c r="J11" s="209"/>
      <c r="K11" s="315" t="s">
        <v>518</v>
      </c>
      <c r="L11" s="209"/>
    </row>
    <row r="12" spans="1:15" ht="43.5" customHeight="1">
      <c r="B12" s="71"/>
      <c r="E12" s="253" t="s">
        <v>901</v>
      </c>
      <c r="F12" s="254"/>
      <c r="G12" s="83"/>
      <c r="H12" s="75" t="s">
        <v>902</v>
      </c>
      <c r="I12" s="323" t="e">
        <f>H44</f>
        <v>#DIV/0!</v>
      </c>
      <c r="J12" s="319"/>
      <c r="K12" s="298" t="s">
        <v>873</v>
      </c>
      <c r="L12" s="313"/>
    </row>
    <row r="13" spans="1:15" ht="30.6" customHeight="1">
      <c r="B13" s="71"/>
      <c r="E13" s="241" t="s">
        <v>735</v>
      </c>
      <c r="F13" s="248"/>
      <c r="G13" s="83"/>
      <c r="H13" s="75" t="s">
        <v>699</v>
      </c>
      <c r="I13" s="318">
        <f>G23</f>
        <v>5</v>
      </c>
      <c r="J13" s="319"/>
      <c r="K13" s="298" t="s">
        <v>816</v>
      </c>
      <c r="L13" s="313"/>
    </row>
    <row r="14" spans="1:15" ht="43.5" customHeight="1">
      <c r="B14" s="71"/>
      <c r="E14" s="241" t="s">
        <v>547</v>
      </c>
      <c r="F14" s="248"/>
      <c r="G14" s="83"/>
      <c r="H14" s="75" t="s">
        <v>794</v>
      </c>
      <c r="I14" s="318">
        <f>G22</f>
        <v>95</v>
      </c>
      <c r="J14" s="319"/>
      <c r="K14" s="298" t="s">
        <v>524</v>
      </c>
      <c r="L14" s="313"/>
    </row>
    <row r="15" spans="1:15" ht="43.35" customHeight="1">
      <c r="B15" s="71"/>
      <c r="E15" s="253" t="s">
        <v>935</v>
      </c>
      <c r="F15" s="254"/>
      <c r="G15" s="83"/>
      <c r="H15" s="75" t="s">
        <v>872</v>
      </c>
      <c r="I15" s="323">
        <f>985+H80</f>
        <v>1323.4</v>
      </c>
      <c r="J15" s="319"/>
      <c r="K15" s="298" t="s">
        <v>873</v>
      </c>
      <c r="L15" s="313"/>
    </row>
    <row r="16" spans="1:15" ht="30.6" customHeight="1">
      <c r="B16" s="71"/>
      <c r="E16" s="241" t="s">
        <v>660</v>
      </c>
      <c r="F16" s="248"/>
      <c r="G16" s="83"/>
      <c r="H16" s="75" t="s">
        <v>654</v>
      </c>
      <c r="I16" s="323" t="e">
        <f>H43</f>
        <v>#DIV/0!</v>
      </c>
      <c r="J16" s="319"/>
      <c r="K16" s="298" t="s">
        <v>816</v>
      </c>
      <c r="L16" s="313"/>
    </row>
    <row r="17" spans="1:12" ht="42.75" customHeight="1">
      <c r="B17" s="71"/>
      <c r="E17" s="241" t="s">
        <v>936</v>
      </c>
      <c r="F17" s="248"/>
      <c r="G17" s="83"/>
      <c r="H17" s="75" t="s">
        <v>794</v>
      </c>
      <c r="I17" s="308">
        <v>5</v>
      </c>
      <c r="J17" s="309"/>
      <c r="K17" s="298" t="s">
        <v>524</v>
      </c>
      <c r="L17" s="313"/>
    </row>
    <row r="18" spans="1:12" ht="44.25" customHeight="1">
      <c r="B18" s="71"/>
      <c r="E18" s="316" t="s">
        <v>937</v>
      </c>
      <c r="F18" s="317"/>
      <c r="G18" s="83"/>
      <c r="H18" s="75" t="s">
        <v>872</v>
      </c>
      <c r="I18" s="323">
        <f>H79</f>
        <v>1.6</v>
      </c>
      <c r="J18" s="319"/>
      <c r="K18" s="298" t="s">
        <v>873</v>
      </c>
      <c r="L18" s="313"/>
    </row>
    <row r="19" spans="1:12">
      <c r="B19" s="17"/>
      <c r="E19" s="5"/>
      <c r="F19" s="5"/>
      <c r="G19" s="5"/>
      <c r="H19" s="149"/>
      <c r="I19" s="148"/>
      <c r="K19" s="74"/>
      <c r="L19" s="5"/>
    </row>
    <row r="20" spans="1:12" s="74" customFormat="1">
      <c r="B20" s="71"/>
      <c r="C20" s="4">
        <v>2</v>
      </c>
      <c r="D20" s="16" t="s">
        <v>938</v>
      </c>
      <c r="E20" s="9"/>
      <c r="G20" s="144"/>
      <c r="K20" s="110"/>
    </row>
    <row r="21" spans="1:12" s="74" customFormat="1">
      <c r="B21" s="17"/>
      <c r="C21" s="4"/>
      <c r="D21" s="16"/>
      <c r="E21" s="255" t="s">
        <v>513</v>
      </c>
      <c r="F21" s="265"/>
      <c r="G21" s="38" t="s">
        <v>825</v>
      </c>
      <c r="K21" s="110"/>
    </row>
    <row r="22" spans="1:12">
      <c r="B22" s="71"/>
      <c r="E22" s="241" t="s">
        <v>547</v>
      </c>
      <c r="F22" s="248"/>
      <c r="G22" s="69">
        <v>95</v>
      </c>
    </row>
    <row r="23" spans="1:12">
      <c r="B23" s="71"/>
      <c r="E23" s="241" t="s">
        <v>735</v>
      </c>
      <c r="F23" s="248"/>
      <c r="G23" s="69">
        <v>5</v>
      </c>
    </row>
    <row r="24" spans="1:12" ht="32.1" customHeight="1">
      <c r="B24" s="133"/>
      <c r="C24" s="287" t="s">
        <v>905</v>
      </c>
      <c r="D24" s="262"/>
      <c r="E24" s="262"/>
      <c r="F24" s="262"/>
      <c r="G24" s="262"/>
      <c r="H24" s="262"/>
      <c r="I24" s="262"/>
      <c r="J24" s="262"/>
      <c r="K24" s="262"/>
      <c r="L24" s="262"/>
    </row>
    <row r="25" spans="1:12">
      <c r="D25" s="9"/>
      <c r="E25" s="9"/>
      <c r="F25" s="9"/>
    </row>
    <row r="26" spans="1:12">
      <c r="B26" s="71"/>
      <c r="C26" s="4">
        <v>3</v>
      </c>
      <c r="D26" s="9" t="s">
        <v>537</v>
      </c>
      <c r="E26" s="9"/>
      <c r="F26" s="9"/>
    </row>
    <row r="27" spans="1:12">
      <c r="B27" s="71"/>
      <c r="C27" s="4">
        <v>4</v>
      </c>
      <c r="D27" s="9" t="s">
        <v>538</v>
      </c>
      <c r="E27" s="9"/>
      <c r="F27" s="9"/>
    </row>
    <row r="28" spans="1:12" s="74" customFormat="1">
      <c r="B28" s="71"/>
      <c r="C28" s="4"/>
      <c r="D28" s="4" t="s">
        <v>541</v>
      </c>
      <c r="E28" s="9"/>
      <c r="G28" s="144"/>
      <c r="K28" s="110"/>
    </row>
    <row r="30" spans="1:12" ht="18">
      <c r="A30" s="201" t="s">
        <v>906</v>
      </c>
      <c r="B30" s="235"/>
      <c r="C30" s="235"/>
      <c r="D30" s="235"/>
      <c r="E30" s="235"/>
      <c r="F30" s="235"/>
      <c r="G30" s="235"/>
      <c r="H30" s="235"/>
      <c r="I30" s="235"/>
      <c r="J30" s="235"/>
      <c r="K30" s="235"/>
      <c r="L30" s="235"/>
    </row>
    <row r="32" spans="1:12">
      <c r="B32" s="71"/>
      <c r="C32" s="4">
        <v>1</v>
      </c>
      <c r="D32" s="9" t="s">
        <v>886</v>
      </c>
      <c r="E32" s="9"/>
      <c r="F32" s="9"/>
    </row>
    <row r="33" spans="1:12">
      <c r="D33" s="9"/>
      <c r="E33" s="302" t="s">
        <v>887</v>
      </c>
      <c r="F33" s="303"/>
      <c r="G33" s="301"/>
      <c r="H33" s="38" t="s">
        <v>888</v>
      </c>
    </row>
    <row r="34" spans="1:12">
      <c r="B34" s="84"/>
      <c r="D34" s="9"/>
      <c r="E34" s="304" t="s">
        <v>907</v>
      </c>
      <c r="F34" s="305"/>
      <c r="G34" s="301"/>
      <c r="H34" s="140"/>
    </row>
    <row r="35" spans="1:12">
      <c r="B35" s="71"/>
      <c r="D35" s="9"/>
      <c r="E35" s="304" t="s">
        <v>908</v>
      </c>
      <c r="F35" s="305"/>
      <c r="G35" s="301"/>
      <c r="H35" s="140">
        <v>800</v>
      </c>
    </row>
    <row r="36" spans="1:12">
      <c r="D36" s="9"/>
      <c r="E36" s="299" t="s">
        <v>909</v>
      </c>
      <c r="F36" s="321"/>
      <c r="G36" s="322"/>
      <c r="H36" s="147">
        <f>((H34)/(660*H35))*10^6</f>
        <v>0</v>
      </c>
    </row>
    <row r="37" spans="1:12">
      <c r="B37" s="71"/>
      <c r="D37" s="9"/>
      <c r="E37" s="304" t="s">
        <v>889</v>
      </c>
      <c r="F37" s="303"/>
      <c r="G37" s="301"/>
      <c r="H37" s="140">
        <v>100</v>
      </c>
    </row>
    <row r="39" spans="1:12" ht="18">
      <c r="A39" s="201" t="s">
        <v>939</v>
      </c>
      <c r="B39" s="235"/>
      <c r="C39" s="235"/>
      <c r="D39" s="235"/>
      <c r="E39" s="235"/>
      <c r="F39" s="235"/>
      <c r="G39" s="235"/>
      <c r="H39" s="235"/>
      <c r="I39" s="235"/>
      <c r="J39" s="235"/>
      <c r="K39" s="235"/>
      <c r="L39" s="235"/>
    </row>
    <row r="40" spans="1:12">
      <c r="D40" s="9"/>
      <c r="E40" s="9"/>
      <c r="H40" s="1"/>
    </row>
    <row r="41" spans="1:12">
      <c r="B41" s="71"/>
      <c r="C41" s="4">
        <v>1</v>
      </c>
      <c r="D41" s="9" t="s">
        <v>940</v>
      </c>
      <c r="E41" s="9"/>
      <c r="F41" s="9"/>
    </row>
    <row r="42" spans="1:12">
      <c r="D42" s="9"/>
      <c r="E42" s="302" t="s">
        <v>513</v>
      </c>
      <c r="F42" s="306"/>
      <c r="G42" s="301"/>
      <c r="H42" s="38" t="s">
        <v>825</v>
      </c>
    </row>
    <row r="43" spans="1:12">
      <c r="B43" s="71"/>
      <c r="D43" s="9"/>
      <c r="E43" s="304" t="s">
        <v>660</v>
      </c>
      <c r="F43" s="305"/>
      <c r="G43" s="301"/>
      <c r="H43" s="142" t="e">
        <f>H37-H44</f>
        <v>#DIV/0!</v>
      </c>
    </row>
    <row r="44" spans="1:12">
      <c r="B44" s="71"/>
      <c r="D44" s="9"/>
      <c r="E44" s="280" t="s">
        <v>901</v>
      </c>
      <c r="F44" s="320"/>
      <c r="G44" s="301"/>
      <c r="H44" s="143" t="e">
        <f>(1*H37)/H36</f>
        <v>#DIV/0!</v>
      </c>
    </row>
    <row r="45" spans="1:12">
      <c r="B45" s="17"/>
      <c r="D45" s="9"/>
      <c r="E45" s="299" t="s">
        <v>665</v>
      </c>
      <c r="F45" s="300"/>
      <c r="G45" s="301"/>
      <c r="H45" s="145" t="e">
        <f>SUM(H43:H44)</f>
        <v>#DIV/0!</v>
      </c>
    </row>
    <row r="46" spans="1:12">
      <c r="B46" s="17"/>
      <c r="D46" s="9"/>
      <c r="E46" s="9"/>
      <c r="F46" s="5"/>
      <c r="G46" s="88"/>
    </row>
    <row r="47" spans="1:12">
      <c r="B47" s="71"/>
      <c r="C47" s="4">
        <v>2</v>
      </c>
      <c r="D47" s="9" t="s">
        <v>912</v>
      </c>
      <c r="E47" s="9"/>
      <c r="F47" s="9"/>
    </row>
    <row r="49" spans="1:12" ht="18">
      <c r="A49" s="201" t="s">
        <v>941</v>
      </c>
      <c r="B49" s="235"/>
      <c r="C49" s="235"/>
      <c r="D49" s="235"/>
      <c r="E49" s="235"/>
      <c r="F49" s="235"/>
      <c r="G49" s="235"/>
      <c r="H49" s="235"/>
      <c r="I49" s="235"/>
      <c r="J49" s="235"/>
      <c r="K49" s="235"/>
      <c r="L49" s="235"/>
    </row>
    <row r="51" spans="1:12">
      <c r="B51" s="71"/>
      <c r="C51" s="4">
        <v>1</v>
      </c>
      <c r="D51" s="4" t="s">
        <v>942</v>
      </c>
    </row>
    <row r="52" spans="1:12">
      <c r="B52" s="71"/>
      <c r="C52" s="4">
        <v>2</v>
      </c>
      <c r="D52" s="4" t="s">
        <v>943</v>
      </c>
    </row>
    <row r="53" spans="1:12">
      <c r="B53" s="71"/>
      <c r="C53" s="4">
        <v>3</v>
      </c>
      <c r="D53" s="9" t="s">
        <v>881</v>
      </c>
      <c r="E53" s="9"/>
      <c r="F53" s="9"/>
    </row>
    <row r="54" spans="1:12">
      <c r="B54" s="71"/>
      <c r="C54" s="4">
        <v>4</v>
      </c>
      <c r="D54" s="9" t="s">
        <v>690</v>
      </c>
      <c r="E54" s="9"/>
      <c r="F54" s="9"/>
    </row>
    <row r="55" spans="1:12">
      <c r="B55" s="71"/>
      <c r="C55" s="4">
        <v>5</v>
      </c>
      <c r="D55" s="196" t="s">
        <v>944</v>
      </c>
      <c r="E55" s="9"/>
      <c r="F55" s="9"/>
    </row>
    <row r="56" spans="1:12">
      <c r="B56" s="71"/>
      <c r="C56" s="4">
        <v>6</v>
      </c>
      <c r="D56" s="9" t="s">
        <v>881</v>
      </c>
      <c r="E56" s="9"/>
      <c r="F56" s="9"/>
    </row>
    <row r="57" spans="1:12">
      <c r="B57" s="71"/>
      <c r="C57" s="4">
        <v>7</v>
      </c>
      <c r="D57" s="9" t="s">
        <v>945</v>
      </c>
      <c r="E57" s="9"/>
      <c r="F57" s="9"/>
    </row>
    <row r="58" spans="1:12">
      <c r="B58" s="71"/>
      <c r="C58" s="4">
        <v>8</v>
      </c>
      <c r="D58" s="9" t="s">
        <v>883</v>
      </c>
    </row>
    <row r="59" spans="1:12">
      <c r="D59" s="9"/>
      <c r="E59" s="9"/>
      <c r="F59" s="9"/>
    </row>
    <row r="60" spans="1:12">
      <c r="C60" s="20" t="s">
        <v>946</v>
      </c>
      <c r="E60" s="9"/>
      <c r="F60" s="9"/>
    </row>
    <row r="61" spans="1:12">
      <c r="E61" s="9"/>
      <c r="F61" s="9"/>
    </row>
    <row r="62" spans="1:12" ht="18">
      <c r="A62" s="201" t="s">
        <v>919</v>
      </c>
      <c r="B62" s="235"/>
      <c r="C62" s="235"/>
      <c r="D62" s="235"/>
      <c r="E62" s="235"/>
      <c r="F62" s="235"/>
      <c r="G62" s="235"/>
      <c r="H62" s="235"/>
      <c r="I62" s="235"/>
      <c r="J62" s="235"/>
      <c r="K62" s="235"/>
      <c r="L62" s="235"/>
    </row>
    <row r="64" spans="1:12">
      <c r="B64" s="71"/>
      <c r="C64" s="4">
        <v>1</v>
      </c>
      <c r="D64" s="9" t="s">
        <v>886</v>
      </c>
      <c r="E64" s="9"/>
      <c r="F64" s="9"/>
    </row>
    <row r="65" spans="1:12">
      <c r="D65" s="9"/>
      <c r="E65" s="302" t="s">
        <v>887</v>
      </c>
      <c r="F65" s="303"/>
      <c r="G65" s="301"/>
      <c r="H65" s="38" t="s">
        <v>888</v>
      </c>
    </row>
    <row r="66" spans="1:12">
      <c r="B66" s="71"/>
      <c r="D66" s="9"/>
      <c r="E66" s="304" t="s">
        <v>920</v>
      </c>
      <c r="F66" s="305"/>
      <c r="G66" s="301"/>
      <c r="H66" s="140">
        <v>1</v>
      </c>
    </row>
    <row r="67" spans="1:12">
      <c r="B67" s="71"/>
      <c r="D67" s="9"/>
      <c r="E67" s="304" t="s">
        <v>921</v>
      </c>
      <c r="F67" s="305"/>
      <c r="G67" s="301"/>
      <c r="H67" s="140">
        <v>1.6</v>
      </c>
    </row>
    <row r="68" spans="1:12">
      <c r="B68" s="71"/>
      <c r="E68" s="304" t="s">
        <v>922</v>
      </c>
      <c r="F68" s="305"/>
      <c r="G68" s="301"/>
      <c r="H68" s="146">
        <v>0.01</v>
      </c>
    </row>
    <row r="69" spans="1:12">
      <c r="B69" s="71"/>
      <c r="E69" s="304" t="s">
        <v>947</v>
      </c>
      <c r="F69" s="305"/>
      <c r="G69" s="301"/>
      <c r="H69" s="140">
        <v>500</v>
      </c>
    </row>
    <row r="70" spans="1:12">
      <c r="E70" s="9"/>
      <c r="F70" s="9"/>
    </row>
    <row r="71" spans="1:12" ht="18">
      <c r="A71" s="201" t="s">
        <v>924</v>
      </c>
      <c r="B71" s="235"/>
      <c r="C71" s="235"/>
      <c r="D71" s="235"/>
      <c r="E71" s="235"/>
      <c r="F71" s="235"/>
      <c r="G71" s="235"/>
      <c r="H71" s="235"/>
      <c r="I71" s="235"/>
      <c r="J71" s="235"/>
      <c r="K71" s="235"/>
      <c r="L71" s="235"/>
    </row>
    <row r="72" spans="1:12">
      <c r="E72" s="9"/>
      <c r="F72" s="5"/>
      <c r="H72" s="1"/>
    </row>
    <row r="73" spans="1:12">
      <c r="B73" s="71"/>
      <c r="C73" s="4">
        <v>1</v>
      </c>
      <c r="D73" s="9" t="s">
        <v>925</v>
      </c>
      <c r="E73" s="9"/>
      <c r="F73" s="9"/>
    </row>
    <row r="74" spans="1:12">
      <c r="D74" s="9"/>
      <c r="E74" s="255" t="s">
        <v>513</v>
      </c>
      <c r="F74" s="265"/>
      <c r="G74" s="266"/>
      <c r="H74" s="38" t="s">
        <v>825</v>
      </c>
    </row>
    <row r="75" spans="1:12">
      <c r="B75" s="71"/>
      <c r="D75" s="9"/>
      <c r="E75" s="247" t="s">
        <v>948</v>
      </c>
      <c r="F75" s="248"/>
      <c r="G75" s="266"/>
      <c r="H75" s="142">
        <f>((H67*H69)/5)/H66</f>
        <v>160</v>
      </c>
    </row>
    <row r="76" spans="1:12">
      <c r="B76" s="71"/>
      <c r="D76" s="9"/>
      <c r="E76" s="247" t="s">
        <v>949</v>
      </c>
      <c r="F76" s="248"/>
      <c r="G76" s="266"/>
      <c r="H76" s="142">
        <f>IF($H$66=1,0,IF($H$66&gt;1,$H$75,""))</f>
        <v>0</v>
      </c>
    </row>
    <row r="77" spans="1:12">
      <c r="B77" s="71"/>
      <c r="D77" s="9"/>
      <c r="E77" s="247" t="s">
        <v>950</v>
      </c>
      <c r="F77" s="248"/>
      <c r="G77" s="266"/>
      <c r="H77" s="142">
        <f>IF($H$66=2,0,IF($H$66&gt;2,$H$75,0))</f>
        <v>0</v>
      </c>
    </row>
    <row r="78" spans="1:12">
      <c r="B78" s="71"/>
      <c r="D78" s="9"/>
      <c r="E78" s="247" t="s">
        <v>951</v>
      </c>
      <c r="F78" s="248"/>
      <c r="G78" s="266"/>
      <c r="H78" s="142">
        <f>IF($H$66=3,0,IF($H$66&gt;3,$H$75,0))</f>
        <v>0</v>
      </c>
    </row>
    <row r="79" spans="1:12">
      <c r="B79" s="71"/>
      <c r="D79" s="9"/>
      <c r="E79" s="247" t="s">
        <v>952</v>
      </c>
      <c r="F79" s="248"/>
      <c r="G79" s="266"/>
      <c r="H79" s="142">
        <f>((H67*H69)/5)*H68</f>
        <v>1.6</v>
      </c>
    </row>
    <row r="80" spans="1:12">
      <c r="B80" s="71"/>
      <c r="D80" s="9"/>
      <c r="E80" s="247" t="s">
        <v>892</v>
      </c>
      <c r="F80" s="248"/>
      <c r="G80" s="266"/>
      <c r="H80" s="142">
        <f>H69-(H75+H76+H77+H78+H79)</f>
        <v>338.4</v>
      </c>
    </row>
    <row r="81" spans="1:12">
      <c r="D81" s="9"/>
      <c r="E81" s="249" t="s">
        <v>548</v>
      </c>
      <c r="F81" s="250"/>
      <c r="G81" s="266"/>
      <c r="H81" s="145">
        <f>SUM(H75:H80)</f>
        <v>500</v>
      </c>
    </row>
    <row r="82" spans="1:12">
      <c r="D82" s="9"/>
      <c r="E82" s="9"/>
      <c r="F82" s="5"/>
      <c r="G82" s="1"/>
    </row>
    <row r="83" spans="1:12">
      <c r="B83" s="71"/>
      <c r="C83" s="4">
        <v>2</v>
      </c>
      <c r="D83" s="9" t="s">
        <v>930</v>
      </c>
    </row>
    <row r="84" spans="1:12">
      <c r="B84" s="71"/>
      <c r="C84" s="4">
        <v>3</v>
      </c>
      <c r="D84" s="4" t="s">
        <v>953</v>
      </c>
    </row>
    <row r="85" spans="1:12">
      <c r="C85" s="9"/>
      <c r="E85" s="9"/>
      <c r="F85" s="9"/>
    </row>
    <row r="86" spans="1:12">
      <c r="C86" s="4" t="s">
        <v>932</v>
      </c>
      <c r="E86" s="9"/>
      <c r="F86" s="9"/>
    </row>
    <row r="87" spans="1:12">
      <c r="C87" s="9"/>
      <c r="E87" s="9"/>
      <c r="F87" s="9"/>
    </row>
    <row r="88" spans="1:12">
      <c r="B88" s="67" t="s">
        <v>631</v>
      </c>
      <c r="C88" s="68"/>
      <c r="D88" s="68"/>
      <c r="E88" s="68"/>
      <c r="F88" s="71"/>
    </row>
    <row r="89" spans="1:12">
      <c r="D89" s="9"/>
      <c r="E89" s="9"/>
      <c r="F89" s="9"/>
    </row>
    <row r="90" spans="1:12" ht="18">
      <c r="A90" s="201" t="s">
        <v>954</v>
      </c>
      <c r="B90" s="235"/>
      <c r="C90" s="235"/>
      <c r="D90" s="235"/>
      <c r="E90" s="235"/>
      <c r="F90" s="235"/>
      <c r="G90" s="235"/>
      <c r="H90" s="235"/>
      <c r="I90" s="235"/>
      <c r="J90" s="235"/>
      <c r="K90" s="235"/>
      <c r="L90" s="235"/>
    </row>
  </sheetData>
  <sheetProtection algorithmName="SHA-512" hashValue="/ywHmfofscAyc2zYYy6PLuNeFewtRDn6jdvC3Edcaxh753KMkcxKkw65Re/WV/J8l5bgERR6Uo2ntGG0PJIRGA==" saltValue="hZI2nCDOIdfGDLmg6kKJcA==" spinCount="100000" sheet="1" objects="1" scenarios="1"/>
  <mergeCells count="63">
    <mergeCell ref="A8:L8"/>
    <mergeCell ref="E11:F11"/>
    <mergeCell ref="B5:E5"/>
    <mergeCell ref="A1:L1"/>
    <mergeCell ref="B3:E3"/>
    <mergeCell ref="H3:L3"/>
    <mergeCell ref="B4:E4"/>
    <mergeCell ref="H4:L4"/>
    <mergeCell ref="I11:J11"/>
    <mergeCell ref="K11:L11"/>
    <mergeCell ref="E18:F18"/>
    <mergeCell ref="I18:J18"/>
    <mergeCell ref="K18:L18"/>
    <mergeCell ref="E21:F21"/>
    <mergeCell ref="E22:F22"/>
    <mergeCell ref="E15:F15"/>
    <mergeCell ref="I15:J15"/>
    <mergeCell ref="K15:L15"/>
    <mergeCell ref="I16:J16"/>
    <mergeCell ref="K16:L16"/>
    <mergeCell ref="E16:F16"/>
    <mergeCell ref="E12:F12"/>
    <mergeCell ref="I12:J12"/>
    <mergeCell ref="K12:L12"/>
    <mergeCell ref="E14:F14"/>
    <mergeCell ref="I14:J14"/>
    <mergeCell ref="K14:L14"/>
    <mergeCell ref="E13:F13"/>
    <mergeCell ref="I13:J13"/>
    <mergeCell ref="K13:L13"/>
    <mergeCell ref="E23:F23"/>
    <mergeCell ref="E42:G42"/>
    <mergeCell ref="E43:G43"/>
    <mergeCell ref="E44:G44"/>
    <mergeCell ref="E45:G45"/>
    <mergeCell ref="A39:L39"/>
    <mergeCell ref="E37:G37"/>
    <mergeCell ref="C24:L24"/>
    <mergeCell ref="A49:L49"/>
    <mergeCell ref="A62:L62"/>
    <mergeCell ref="E81:G81"/>
    <mergeCell ref="A90:L90"/>
    <mergeCell ref="E17:F17"/>
    <mergeCell ref="I17:J17"/>
    <mergeCell ref="K17:L17"/>
    <mergeCell ref="E75:G75"/>
    <mergeCell ref="E76:G76"/>
    <mergeCell ref="E77:G77"/>
    <mergeCell ref="A30:L30"/>
    <mergeCell ref="E33:G33"/>
    <mergeCell ref="E34:G34"/>
    <mergeCell ref="E35:G35"/>
    <mergeCell ref="E36:G36"/>
    <mergeCell ref="E74:G74"/>
    <mergeCell ref="E78:G78"/>
    <mergeCell ref="E79:G79"/>
    <mergeCell ref="E80:G80"/>
    <mergeCell ref="E65:G65"/>
    <mergeCell ref="E66:G66"/>
    <mergeCell ref="E67:G67"/>
    <mergeCell ref="E68:G68"/>
    <mergeCell ref="E69:G69"/>
    <mergeCell ref="A71:L71"/>
  </mergeCells>
  <conditionalFormatting sqref="H76:H78">
    <cfRule type="cellIs" dxfId="1" priority="1" operator="between">
      <formula>0</formula>
      <formula>0</formula>
    </cfRule>
  </conditionalFormatting>
  <pageMargins left="0.70866141732283472" right="0.70866141732283472" top="0.74803149606299213" bottom="0.74803149606299213" header="0.31496062992125984" footer="0.31496062992125984"/>
  <pageSetup paperSize="9" scale="54" fitToHeight="0" orientation="portrait" r:id="rId1"/>
  <headerFooter>
    <oddHeader>&amp;R&amp;G</oddHeader>
    <oddFooter>&amp;L&amp;8Version: 1.0&amp;C&amp;8&amp;P of &amp;N&amp;R&amp;8Revidováno: září 2023</oddFooter>
  </headerFooter>
  <ignoredErrors>
    <ignoredError sqref="H43:H45 I16 I12" evalError="1"/>
  </ignoredErrors>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C544-2A07-4BA7-BACF-EB954716D40E}">
  <sheetPr codeName="Sheet20">
    <pageSetUpPr fitToPage="1"/>
  </sheetPr>
  <dimension ref="A1:O65"/>
  <sheetViews>
    <sheetView view="pageLayout" topLeftCell="A56" zoomScaleNormal="100" workbookViewId="0">
      <selection activeCell="O78" sqref="O78"/>
    </sheetView>
  </sheetViews>
  <sheetFormatPr defaultColWidth="8.5546875" defaultRowHeight="14.4"/>
  <cols>
    <col min="1" max="4" width="2.5546875" style="4" customWidth="1"/>
    <col min="5" max="5" width="5.5546875" style="4" customWidth="1"/>
    <col min="6" max="6" width="14.44140625" style="4" customWidth="1"/>
    <col min="7" max="7" width="28.44140625" style="4" customWidth="1"/>
    <col min="8" max="8" width="17.5546875" style="4" customWidth="1"/>
    <col min="9" max="9" width="12.5546875" style="4" customWidth="1"/>
    <col min="10" max="10" width="13.44140625" style="4" customWidth="1"/>
    <col min="11" max="11" width="6.5546875" style="4" customWidth="1"/>
    <col min="12" max="12" width="26.5546875" style="4" customWidth="1"/>
    <col min="13" max="16384" width="8.5546875" style="4"/>
  </cols>
  <sheetData>
    <row r="1" spans="1:15" s="15" customFormat="1" ht="18">
      <c r="A1" s="198" t="s">
        <v>955</v>
      </c>
      <c r="B1" s="234"/>
      <c r="C1" s="234"/>
      <c r="D1" s="234"/>
      <c r="E1" s="234"/>
      <c r="F1" s="234"/>
      <c r="G1" s="234"/>
      <c r="H1" s="234"/>
      <c r="I1" s="234"/>
      <c r="J1" s="234"/>
      <c r="K1" s="234"/>
      <c r="L1" s="234"/>
      <c r="M1"/>
      <c r="O1"/>
    </row>
    <row r="2" spans="1:15">
      <c r="C2" s="6"/>
      <c r="D2" s="7"/>
      <c r="E2" s="7"/>
      <c r="F2" s="7"/>
    </row>
    <row r="3" spans="1:15">
      <c r="B3" s="206" t="s">
        <v>899</v>
      </c>
      <c r="C3" s="207"/>
      <c r="D3" s="207"/>
      <c r="E3" s="207"/>
      <c r="F3" s="140"/>
      <c r="H3" s="311" t="s">
        <v>956</v>
      </c>
      <c r="I3" s="226"/>
      <c r="J3" s="226"/>
      <c r="K3" s="226"/>
      <c r="L3" s="227"/>
    </row>
    <row r="4" spans="1:15">
      <c r="B4" s="228" t="s">
        <v>369</v>
      </c>
      <c r="C4" s="229"/>
      <c r="D4" s="229"/>
      <c r="E4" s="230"/>
      <c r="F4" s="82"/>
      <c r="H4" s="312" t="s">
        <v>868</v>
      </c>
      <c r="I4" s="226"/>
      <c r="J4" s="226"/>
      <c r="K4" s="226"/>
      <c r="L4" s="227"/>
    </row>
    <row r="5" spans="1:15">
      <c r="A5" s="5"/>
      <c r="B5" s="231" t="s">
        <v>370</v>
      </c>
      <c r="C5" s="232"/>
      <c r="D5" s="232"/>
      <c r="E5" s="233"/>
      <c r="F5" s="82"/>
    </row>
    <row r="6" spans="1:15">
      <c r="A6" s="5"/>
      <c r="B6" s="67" t="s">
        <v>510</v>
      </c>
      <c r="C6" s="68"/>
      <c r="D6" s="68"/>
      <c r="E6" s="68"/>
      <c r="F6" s="82"/>
    </row>
    <row r="7" spans="1:15">
      <c r="C7" s="6"/>
      <c r="D7" s="7"/>
      <c r="E7" s="7"/>
      <c r="F7" s="7"/>
    </row>
    <row r="8" spans="1:15" ht="18">
      <c r="A8" s="201" t="s">
        <v>511</v>
      </c>
      <c r="B8" s="235"/>
      <c r="C8" s="235"/>
      <c r="D8" s="235"/>
      <c r="E8" s="235"/>
      <c r="F8" s="235"/>
      <c r="G8" s="235"/>
      <c r="H8" s="235"/>
      <c r="I8" s="235"/>
      <c r="J8" s="235"/>
      <c r="K8" s="235"/>
      <c r="L8" s="235"/>
    </row>
    <row r="9" spans="1:15">
      <c r="A9" s="4" t="s">
        <v>870</v>
      </c>
    </row>
    <row r="10" spans="1:15">
      <c r="B10" s="71"/>
      <c r="C10" s="4">
        <v>1</v>
      </c>
      <c r="D10" s="16" t="s">
        <v>650</v>
      </c>
      <c r="E10" s="9"/>
    </row>
    <row r="11" spans="1:15" s="17" customFormat="1" ht="28.8">
      <c r="C11" s="18"/>
      <c r="E11" s="257" t="s">
        <v>513</v>
      </c>
      <c r="F11" s="256"/>
      <c r="G11" s="36" t="s">
        <v>514</v>
      </c>
      <c r="H11" s="37" t="s">
        <v>515</v>
      </c>
      <c r="I11" s="314" t="s">
        <v>710</v>
      </c>
      <c r="J11" s="209"/>
      <c r="K11" s="315" t="s">
        <v>518</v>
      </c>
      <c r="L11" s="209"/>
    </row>
    <row r="12" spans="1:15" ht="41.25" customHeight="1">
      <c r="B12" s="71"/>
      <c r="E12" s="253" t="s">
        <v>901</v>
      </c>
      <c r="F12" s="254"/>
      <c r="G12" s="83"/>
      <c r="H12" s="75" t="s">
        <v>902</v>
      </c>
      <c r="I12" s="325" t="e">
        <f>H34</f>
        <v>#DIV/0!</v>
      </c>
      <c r="J12" s="266"/>
      <c r="K12" s="298" t="s">
        <v>873</v>
      </c>
      <c r="L12" s="313"/>
    </row>
    <row r="13" spans="1:15" ht="30.6" customHeight="1">
      <c r="B13" s="71"/>
      <c r="E13" s="241" t="s">
        <v>660</v>
      </c>
      <c r="F13" s="248"/>
      <c r="G13" s="83"/>
      <c r="H13" s="75" t="s">
        <v>654</v>
      </c>
      <c r="I13" s="325" t="e">
        <f>H33+H57</f>
        <v>#DIV/0!</v>
      </c>
      <c r="J13" s="266"/>
      <c r="K13" s="298" t="s">
        <v>816</v>
      </c>
      <c r="L13" s="313"/>
    </row>
    <row r="14" spans="1:15" ht="46.5" customHeight="1">
      <c r="B14" s="71"/>
      <c r="E14" s="316" t="s">
        <v>904</v>
      </c>
      <c r="F14" s="317"/>
      <c r="G14" s="83"/>
      <c r="H14" s="75" t="s">
        <v>872</v>
      </c>
      <c r="I14" s="325">
        <f>H56</f>
        <v>10</v>
      </c>
      <c r="J14" s="266"/>
      <c r="K14" s="298" t="s">
        <v>873</v>
      </c>
      <c r="L14" s="313"/>
    </row>
    <row r="15" spans="1:15">
      <c r="D15" s="9"/>
      <c r="E15" s="9"/>
      <c r="F15" s="9"/>
    </row>
    <row r="16" spans="1:15">
      <c r="B16" s="71"/>
      <c r="C16" s="4">
        <v>2</v>
      </c>
      <c r="D16" s="9" t="s">
        <v>537</v>
      </c>
      <c r="E16" s="9"/>
      <c r="F16" s="9"/>
    </row>
    <row r="17" spans="1:12">
      <c r="B17" s="71"/>
      <c r="C17" s="4">
        <v>3</v>
      </c>
      <c r="D17" s="9" t="s">
        <v>538</v>
      </c>
      <c r="E17" s="9"/>
      <c r="F17" s="9"/>
    </row>
    <row r="18" spans="1:12" s="74" customFormat="1">
      <c r="B18" s="71"/>
      <c r="C18" s="4"/>
      <c r="D18" s="4" t="s">
        <v>541</v>
      </c>
      <c r="E18" s="9"/>
      <c r="G18" s="144"/>
      <c r="K18" s="110"/>
    </row>
    <row r="20" spans="1:12" ht="18">
      <c r="A20" s="201" t="s">
        <v>957</v>
      </c>
      <c r="B20" s="235"/>
      <c r="C20" s="235"/>
      <c r="D20" s="235"/>
      <c r="E20" s="235"/>
      <c r="F20" s="235"/>
      <c r="G20" s="235"/>
      <c r="H20" s="235"/>
      <c r="I20" s="235"/>
      <c r="J20" s="235"/>
      <c r="K20" s="235"/>
      <c r="L20" s="235"/>
    </row>
    <row r="22" spans="1:12">
      <c r="B22" s="71"/>
      <c r="C22" s="4">
        <v>1</v>
      </c>
      <c r="D22" s="9" t="s">
        <v>886</v>
      </c>
      <c r="E22" s="9"/>
      <c r="F22" s="9"/>
    </row>
    <row r="23" spans="1:12">
      <c r="D23" s="9"/>
      <c r="E23" s="302" t="s">
        <v>887</v>
      </c>
      <c r="F23" s="303"/>
      <c r="G23" s="301"/>
      <c r="H23" s="38" t="s">
        <v>888</v>
      </c>
    </row>
    <row r="24" spans="1:12">
      <c r="B24" s="84"/>
      <c r="D24" s="9"/>
      <c r="E24" s="304" t="s">
        <v>907</v>
      </c>
      <c r="F24" s="305"/>
      <c r="G24" s="301"/>
      <c r="H24" s="140"/>
    </row>
    <row r="25" spans="1:12">
      <c r="B25" s="71"/>
      <c r="D25" s="9"/>
      <c r="E25" s="304" t="s">
        <v>908</v>
      </c>
      <c r="F25" s="305"/>
      <c r="G25" s="301"/>
      <c r="H25" s="140">
        <v>800</v>
      </c>
    </row>
    <row r="26" spans="1:12">
      <c r="D26" s="9"/>
      <c r="E26" s="299" t="s">
        <v>909</v>
      </c>
      <c r="F26" s="321"/>
      <c r="G26" s="322"/>
      <c r="H26" s="147">
        <f>((H24)/(660*H25))*10^6</f>
        <v>0</v>
      </c>
    </row>
    <row r="27" spans="1:12">
      <c r="B27" s="71"/>
      <c r="D27" s="9"/>
      <c r="E27" s="304" t="s">
        <v>889</v>
      </c>
      <c r="F27" s="303"/>
      <c r="G27" s="301"/>
      <c r="H27" s="140">
        <v>100</v>
      </c>
    </row>
    <row r="29" spans="1:12" ht="18">
      <c r="A29" s="201" t="s">
        <v>939</v>
      </c>
      <c r="B29" s="235"/>
      <c r="C29" s="235"/>
      <c r="D29" s="235"/>
      <c r="E29" s="235"/>
      <c r="F29" s="235"/>
      <c r="G29" s="235"/>
      <c r="H29" s="235"/>
      <c r="I29" s="235"/>
      <c r="J29" s="235"/>
      <c r="K29" s="235"/>
      <c r="L29" s="235"/>
    </row>
    <row r="31" spans="1:12">
      <c r="B31" s="71"/>
      <c r="C31" s="4">
        <v>1</v>
      </c>
      <c r="D31" s="9" t="s">
        <v>940</v>
      </c>
      <c r="E31" s="9"/>
      <c r="F31" s="9"/>
    </row>
    <row r="32" spans="1:12">
      <c r="D32" s="9"/>
      <c r="E32" s="302" t="s">
        <v>513</v>
      </c>
      <c r="F32" s="306"/>
      <c r="G32" s="301"/>
      <c r="H32" s="38" t="s">
        <v>825</v>
      </c>
    </row>
    <row r="33" spans="1:12">
      <c r="B33" s="71"/>
      <c r="D33" s="9"/>
      <c r="E33" s="304" t="s">
        <v>660</v>
      </c>
      <c r="F33" s="305"/>
      <c r="G33" s="301"/>
      <c r="H33" s="142" t="e">
        <f>H27-H34</f>
        <v>#DIV/0!</v>
      </c>
    </row>
    <row r="34" spans="1:12">
      <c r="B34" s="71"/>
      <c r="D34" s="9"/>
      <c r="E34" s="280" t="s">
        <v>901</v>
      </c>
      <c r="F34" s="320"/>
      <c r="G34" s="301"/>
      <c r="H34" s="143" t="e">
        <f>(1*H27)/H26</f>
        <v>#DIV/0!</v>
      </c>
    </row>
    <row r="35" spans="1:12">
      <c r="B35" s="17"/>
      <c r="D35" s="9"/>
      <c r="E35" s="299" t="s">
        <v>548</v>
      </c>
      <c r="F35" s="300"/>
      <c r="G35" s="301"/>
      <c r="H35" s="145" t="e">
        <f>SUM(H33:H34)</f>
        <v>#DIV/0!</v>
      </c>
    </row>
    <row r="36" spans="1:12">
      <c r="B36" s="17"/>
      <c r="D36" s="9"/>
      <c r="E36" s="9"/>
      <c r="F36" s="5"/>
      <c r="G36" s="88"/>
    </row>
    <row r="37" spans="1:12">
      <c r="B37" s="71"/>
      <c r="C37" s="4">
        <v>2</v>
      </c>
      <c r="D37" s="9" t="s">
        <v>912</v>
      </c>
      <c r="E37" s="9"/>
      <c r="F37" s="9"/>
    </row>
    <row r="39" spans="1:12" ht="18">
      <c r="A39" s="201" t="s">
        <v>919</v>
      </c>
      <c r="B39" s="235"/>
      <c r="C39" s="235"/>
      <c r="D39" s="235"/>
      <c r="E39" s="235"/>
      <c r="F39" s="235"/>
      <c r="G39" s="235"/>
      <c r="H39" s="235"/>
      <c r="I39" s="235"/>
      <c r="J39" s="235"/>
      <c r="K39" s="235"/>
      <c r="L39" s="235"/>
    </row>
    <row r="41" spans="1:12">
      <c r="B41" s="71"/>
      <c r="C41" s="4">
        <v>1</v>
      </c>
      <c r="D41" s="9" t="s">
        <v>886</v>
      </c>
      <c r="E41" s="9"/>
      <c r="F41" s="9"/>
    </row>
    <row r="42" spans="1:12">
      <c r="D42" s="9"/>
      <c r="E42" s="302" t="s">
        <v>887</v>
      </c>
      <c r="F42" s="303"/>
      <c r="G42" s="301"/>
      <c r="H42" s="38" t="s">
        <v>888</v>
      </c>
    </row>
    <row r="43" spans="1:12">
      <c r="B43" s="71"/>
      <c r="D43" s="9"/>
      <c r="E43" s="304" t="s">
        <v>920</v>
      </c>
      <c r="F43" s="305"/>
      <c r="G43" s="301"/>
      <c r="H43" s="140">
        <v>1</v>
      </c>
    </row>
    <row r="44" spans="1:12">
      <c r="B44" s="71"/>
      <c r="D44" s="9"/>
      <c r="E44" s="304" t="s">
        <v>921</v>
      </c>
      <c r="F44" s="305"/>
      <c r="G44" s="301"/>
      <c r="H44" s="140">
        <v>200</v>
      </c>
    </row>
    <row r="45" spans="1:12">
      <c r="B45" s="71"/>
      <c r="E45" s="304" t="s">
        <v>922</v>
      </c>
      <c r="F45" s="305"/>
      <c r="G45" s="301"/>
      <c r="H45" s="146">
        <v>0.01</v>
      </c>
    </row>
    <row r="46" spans="1:12">
      <c r="B46" s="71"/>
      <c r="E46" s="304" t="s">
        <v>958</v>
      </c>
      <c r="F46" s="305"/>
      <c r="G46" s="301"/>
      <c r="H46" s="140">
        <v>100</v>
      </c>
    </row>
    <row r="48" spans="1:12" ht="18">
      <c r="A48" s="201" t="s">
        <v>924</v>
      </c>
      <c r="B48" s="235"/>
      <c r="C48" s="235"/>
      <c r="D48" s="235"/>
      <c r="E48" s="235"/>
      <c r="F48" s="235"/>
      <c r="G48" s="235"/>
      <c r="H48" s="235"/>
      <c r="I48" s="235"/>
      <c r="J48" s="235"/>
      <c r="K48" s="235"/>
      <c r="L48" s="235"/>
    </row>
    <row r="50" spans="2:8">
      <c r="B50" s="71"/>
      <c r="C50" s="4">
        <v>1</v>
      </c>
      <c r="D50" s="9" t="s">
        <v>925</v>
      </c>
      <c r="E50" s="9"/>
      <c r="F50" s="9"/>
    </row>
    <row r="51" spans="2:8">
      <c r="D51" s="9"/>
      <c r="E51" s="255" t="s">
        <v>513</v>
      </c>
      <c r="F51" s="265"/>
      <c r="G51" s="266"/>
      <c r="H51" s="38" t="s">
        <v>825</v>
      </c>
    </row>
    <row r="52" spans="2:8">
      <c r="B52" s="71"/>
      <c r="D52" s="9"/>
      <c r="E52" s="247" t="s">
        <v>959</v>
      </c>
      <c r="F52" s="248"/>
      <c r="G52" s="266"/>
      <c r="H52" s="142">
        <f>((H44*H46)/1000)/H43</f>
        <v>20</v>
      </c>
    </row>
    <row r="53" spans="2:8">
      <c r="B53" s="71"/>
      <c r="D53" s="9"/>
      <c r="E53" s="247" t="s">
        <v>960</v>
      </c>
      <c r="F53" s="248"/>
      <c r="G53" s="266"/>
      <c r="H53" s="142">
        <f>IF($H$43=1,0,IF($H$43&gt;1,$H$52,""))</f>
        <v>0</v>
      </c>
    </row>
    <row r="54" spans="2:8">
      <c r="B54" s="71"/>
      <c r="D54" s="9"/>
      <c r="E54" s="247" t="s">
        <v>961</v>
      </c>
      <c r="F54" s="248"/>
      <c r="G54" s="266"/>
      <c r="H54" s="142">
        <f>IF($H$43=2,0,IF($H$43&gt;2,$H$52,0))</f>
        <v>0</v>
      </c>
    </row>
    <row r="55" spans="2:8">
      <c r="B55" s="71"/>
      <c r="D55" s="9"/>
      <c r="E55" s="247" t="s">
        <v>962</v>
      </c>
      <c r="F55" s="248"/>
      <c r="G55" s="266"/>
      <c r="H55" s="142">
        <f>IF($H$43=3,0,IF($H$43&gt;3,$H$52,0))</f>
        <v>0</v>
      </c>
    </row>
    <row r="56" spans="2:8">
      <c r="B56" s="71"/>
      <c r="D56" s="9"/>
      <c r="E56" s="324" t="s">
        <v>963</v>
      </c>
      <c r="F56" s="248"/>
      <c r="G56" s="266"/>
      <c r="H56" s="142">
        <f>((H44*H46)/20)*H45</f>
        <v>10</v>
      </c>
    </row>
    <row r="57" spans="2:8">
      <c r="B57" s="71"/>
      <c r="D57" s="9"/>
      <c r="E57" s="304" t="s">
        <v>660</v>
      </c>
      <c r="F57" s="305"/>
      <c r="G57" s="301"/>
      <c r="H57" s="142">
        <f>H46-(H52+H53+H54+H55+H56)</f>
        <v>70</v>
      </c>
    </row>
    <row r="58" spans="2:8">
      <c r="D58" s="9"/>
      <c r="E58" s="249" t="s">
        <v>665</v>
      </c>
      <c r="F58" s="250"/>
      <c r="G58" s="266"/>
      <c r="H58" s="145">
        <f>SUM(H52:H57)</f>
        <v>100</v>
      </c>
    </row>
    <row r="59" spans="2:8">
      <c r="B59" s="71"/>
      <c r="C59" s="4">
        <v>2</v>
      </c>
      <c r="D59" s="9" t="s">
        <v>964</v>
      </c>
    </row>
    <row r="60" spans="2:8">
      <c r="B60" s="71"/>
      <c r="C60" s="4">
        <v>3</v>
      </c>
      <c r="D60" s="4" t="s">
        <v>965</v>
      </c>
    </row>
    <row r="61" spans="2:8">
      <c r="C61" s="4" t="s">
        <v>932</v>
      </c>
      <c r="E61" s="9"/>
      <c r="F61" s="9"/>
    </row>
    <row r="62" spans="2:8">
      <c r="C62" s="9"/>
      <c r="E62" s="9"/>
      <c r="F62" s="9"/>
    </row>
    <row r="63" spans="2:8">
      <c r="B63" s="67" t="s">
        <v>631</v>
      </c>
      <c r="C63" s="68"/>
      <c r="D63" s="68"/>
      <c r="E63" s="68"/>
      <c r="F63" s="71"/>
    </row>
    <row r="64" spans="2:8">
      <c r="D64" s="9"/>
      <c r="E64" s="9"/>
      <c r="F64" s="9"/>
    </row>
    <row r="65" spans="1:12" ht="18">
      <c r="A65" s="201" t="s">
        <v>966</v>
      </c>
      <c r="B65" s="235"/>
      <c r="C65" s="235"/>
      <c r="D65" s="235"/>
      <c r="E65" s="235"/>
      <c r="F65" s="235"/>
      <c r="G65" s="235"/>
      <c r="H65" s="235"/>
      <c r="I65" s="235"/>
      <c r="J65" s="235"/>
      <c r="K65" s="235"/>
      <c r="L65" s="235"/>
    </row>
  </sheetData>
  <sheetProtection algorithmName="SHA-512" hashValue="6d72fgO7xLUe0tBHV9gEyJCjIxWQVki96gRqNaLtb9otOuIKMz4LfJpwOo38Y0G+BqjQQNqBGDqxNBIWBXrTJQ==" saltValue="8aKaGoCpHfZDT3NHdiEMnA==" spinCount="100000" sheet="1" objects="1" scenarios="1"/>
  <mergeCells count="46">
    <mergeCell ref="B5:E5"/>
    <mergeCell ref="A1:L1"/>
    <mergeCell ref="B3:E3"/>
    <mergeCell ref="H3:L3"/>
    <mergeCell ref="B4:E4"/>
    <mergeCell ref="H4:L4"/>
    <mergeCell ref="A8:L8"/>
    <mergeCell ref="E11:F11"/>
    <mergeCell ref="I11:J11"/>
    <mergeCell ref="K11:L11"/>
    <mergeCell ref="E12:F12"/>
    <mergeCell ref="I12:J12"/>
    <mergeCell ref="K12:L12"/>
    <mergeCell ref="E25:G25"/>
    <mergeCell ref="E26:G26"/>
    <mergeCell ref="E27:G27"/>
    <mergeCell ref="E13:F13"/>
    <mergeCell ref="I13:J13"/>
    <mergeCell ref="A20:L20"/>
    <mergeCell ref="E23:G23"/>
    <mergeCell ref="E24:G24"/>
    <mergeCell ref="E14:F14"/>
    <mergeCell ref="I14:J14"/>
    <mergeCell ref="K14:L14"/>
    <mergeCell ref="K13:L13"/>
    <mergeCell ref="E32:G32"/>
    <mergeCell ref="E33:G33"/>
    <mergeCell ref="A29:L29"/>
    <mergeCell ref="E54:G54"/>
    <mergeCell ref="E35:G35"/>
    <mergeCell ref="A39:L39"/>
    <mergeCell ref="E42:G42"/>
    <mergeCell ref="E43:G43"/>
    <mergeCell ref="E44:G44"/>
    <mergeCell ref="E45:G45"/>
    <mergeCell ref="E34:G34"/>
    <mergeCell ref="E56:G56"/>
    <mergeCell ref="E57:G57"/>
    <mergeCell ref="E58:G58"/>
    <mergeCell ref="A65:L65"/>
    <mergeCell ref="E46:G46"/>
    <mergeCell ref="E51:G51"/>
    <mergeCell ref="E52:G52"/>
    <mergeCell ref="E53:G53"/>
    <mergeCell ref="A48:L48"/>
    <mergeCell ref="E55:G55"/>
  </mergeCells>
  <conditionalFormatting sqref="H53:H55">
    <cfRule type="cellIs" dxfId="0" priority="1" operator="between">
      <formula>0</formula>
      <formula>0</formula>
    </cfRule>
  </conditionalFormatting>
  <pageMargins left="0.70866141732283472" right="0.70866141732283472" top="0.74803149606299213" bottom="0.74803149606299213" header="0.31496062992125984" footer="0.31496062992125984"/>
  <pageSetup paperSize="9" scale="54" fitToHeight="0" orientation="portrait" r:id="rId1"/>
  <headerFooter>
    <oddHeader>&amp;R&amp;G</oddHeader>
    <oddFooter>&amp;L&amp;8Version: 1.0&amp;C&amp;8&amp;P of &amp;N&amp;R&amp;8Revidováno: září 2023</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CD613-9686-47E9-BA8A-DEC9AC47A4D1}">
  <sheetPr codeName="Sheet2">
    <pageSetUpPr fitToPage="1"/>
  </sheetPr>
  <dimension ref="A1:K97"/>
  <sheetViews>
    <sheetView topLeftCell="A50" zoomScaleNormal="100" workbookViewId="0">
      <selection activeCell="J50" sqref="J50"/>
    </sheetView>
  </sheetViews>
  <sheetFormatPr defaultColWidth="19.44140625" defaultRowHeight="14.4"/>
  <cols>
    <col min="1" max="5" width="19.44140625" style="1"/>
    <col min="6" max="6" width="26.77734375" style="1" bestFit="1" customWidth="1"/>
    <col min="7" max="7" width="8.44140625" style="1" bestFit="1" customWidth="1"/>
    <col min="8" max="8" width="14.21875" style="1" bestFit="1" customWidth="1"/>
    <col min="9" max="9" width="9.44140625" style="1" customWidth="1"/>
    <col min="10" max="10" width="14.5546875" style="1" customWidth="1"/>
    <col min="11" max="11" width="11.21875" style="1" customWidth="1"/>
    <col min="12" max="16384" width="19.44140625" style="1"/>
  </cols>
  <sheetData>
    <row r="1" spans="1:11">
      <c r="A1" s="3" t="s">
        <v>23</v>
      </c>
      <c r="B1" s="3" t="s">
        <v>24</v>
      </c>
      <c r="C1" s="3" t="s">
        <v>25</v>
      </c>
      <c r="D1" s="3" t="s">
        <v>26</v>
      </c>
      <c r="E1" s="3" t="s">
        <v>27</v>
      </c>
      <c r="F1" s="3" t="s">
        <v>28</v>
      </c>
      <c r="G1" s="3" t="s">
        <v>29</v>
      </c>
      <c r="H1" s="3" t="s">
        <v>30</v>
      </c>
      <c r="I1" s="3" t="s">
        <v>31</v>
      </c>
      <c r="J1" s="3" t="s">
        <v>30</v>
      </c>
      <c r="K1" s="3" t="s">
        <v>32</v>
      </c>
    </row>
    <row r="2" spans="1:11">
      <c r="A2" s="2" t="s">
        <v>33</v>
      </c>
      <c r="B2" s="2" t="s">
        <v>33</v>
      </c>
      <c r="C2" s="3"/>
      <c r="D2" s="3"/>
      <c r="E2" s="3"/>
      <c r="F2" s="3"/>
      <c r="G2" s="2" t="s">
        <v>34</v>
      </c>
      <c r="H2" s="2" t="s">
        <v>35</v>
      </c>
      <c r="I2" s="2" t="s">
        <v>34</v>
      </c>
      <c r="J2" s="2" t="s">
        <v>35</v>
      </c>
      <c r="K2" s="2">
        <v>24</v>
      </c>
    </row>
    <row r="3" spans="1:11">
      <c r="A3" s="2" t="s">
        <v>36</v>
      </c>
      <c r="B3" s="2" t="s">
        <v>37</v>
      </c>
      <c r="C3" s="2" t="s">
        <v>38</v>
      </c>
      <c r="D3" s="2" t="s">
        <v>39</v>
      </c>
      <c r="E3" s="2" t="s">
        <v>40</v>
      </c>
      <c r="F3" s="2" t="s">
        <v>41</v>
      </c>
      <c r="G3" s="2" t="s">
        <v>42</v>
      </c>
      <c r="H3" s="2" t="s">
        <v>43</v>
      </c>
      <c r="I3" s="2" t="s">
        <v>44</v>
      </c>
      <c r="J3" s="2" t="s">
        <v>45</v>
      </c>
      <c r="K3" s="2">
        <v>96</v>
      </c>
    </row>
    <row r="4" spans="1:11">
      <c r="A4" s="2" t="s">
        <v>46</v>
      </c>
      <c r="B4" s="2" t="s">
        <v>47</v>
      </c>
      <c r="C4" s="2" t="s">
        <v>48</v>
      </c>
      <c r="D4" s="2" t="s">
        <v>49</v>
      </c>
      <c r="E4" s="2" t="s">
        <v>50</v>
      </c>
      <c r="F4" s="2" t="s">
        <v>51</v>
      </c>
      <c r="G4" s="2" t="s">
        <v>52</v>
      </c>
      <c r="H4" s="2" t="s">
        <v>53</v>
      </c>
      <c r="I4" s="2" t="s">
        <v>54</v>
      </c>
      <c r="J4" s="2" t="s">
        <v>55</v>
      </c>
    </row>
    <row r="5" spans="1:11">
      <c r="A5" s="2"/>
      <c r="B5" s="2" t="s">
        <v>56</v>
      </c>
      <c r="C5" s="2" t="s">
        <v>57</v>
      </c>
      <c r="D5" s="2" t="s">
        <v>58</v>
      </c>
      <c r="E5" s="2" t="s">
        <v>59</v>
      </c>
      <c r="F5" s="2" t="s">
        <v>60</v>
      </c>
      <c r="G5" s="2" t="s">
        <v>61</v>
      </c>
      <c r="H5" s="2" t="s">
        <v>62</v>
      </c>
      <c r="I5" s="2" t="s">
        <v>63</v>
      </c>
      <c r="J5" s="2" t="s">
        <v>64</v>
      </c>
    </row>
    <row r="6" spans="1:11">
      <c r="A6" s="2"/>
      <c r="C6" s="2" t="s">
        <v>65</v>
      </c>
      <c r="D6" s="2" t="s">
        <v>66</v>
      </c>
      <c r="E6" s="2" t="s">
        <v>67</v>
      </c>
      <c r="F6" s="2" t="s">
        <v>68</v>
      </c>
      <c r="G6" s="2" t="s">
        <v>69</v>
      </c>
      <c r="H6" s="2" t="s">
        <v>70</v>
      </c>
      <c r="I6" s="2" t="s">
        <v>71</v>
      </c>
      <c r="J6" s="2" t="s">
        <v>72</v>
      </c>
    </row>
    <row r="7" spans="1:11">
      <c r="C7" s="2" t="s">
        <v>73</v>
      </c>
      <c r="D7" s="2" t="s">
        <v>74</v>
      </c>
      <c r="E7" s="2" t="s">
        <v>75</v>
      </c>
      <c r="F7" s="2" t="s">
        <v>76</v>
      </c>
      <c r="G7" s="2" t="s">
        <v>77</v>
      </c>
      <c r="H7" s="2" t="s">
        <v>78</v>
      </c>
      <c r="I7" s="2" t="s">
        <v>79</v>
      </c>
      <c r="J7" s="2" t="s">
        <v>80</v>
      </c>
    </row>
    <row r="8" spans="1:11">
      <c r="C8" s="2" t="s">
        <v>81</v>
      </c>
      <c r="D8" s="2" t="s">
        <v>82</v>
      </c>
      <c r="E8" s="2" t="s">
        <v>83</v>
      </c>
      <c r="F8" s="2" t="s">
        <v>84</v>
      </c>
      <c r="G8" s="2" t="s">
        <v>85</v>
      </c>
      <c r="H8" s="2" t="s">
        <v>86</v>
      </c>
      <c r="I8" s="2" t="s">
        <v>42</v>
      </c>
      <c r="J8" s="2" t="s">
        <v>43</v>
      </c>
    </row>
    <row r="9" spans="1:11">
      <c r="C9" s="2" t="s">
        <v>87</v>
      </c>
      <c r="D9" s="2" t="s">
        <v>88</v>
      </c>
      <c r="E9" s="2" t="s">
        <v>89</v>
      </c>
      <c r="F9" s="2" t="s">
        <v>90</v>
      </c>
      <c r="G9" s="2" t="s">
        <v>91</v>
      </c>
      <c r="H9" s="2" t="s">
        <v>92</v>
      </c>
      <c r="I9" s="2" t="s">
        <v>93</v>
      </c>
      <c r="J9" s="2" t="s">
        <v>94</v>
      </c>
    </row>
    <row r="10" spans="1:11">
      <c r="A10" s="1" t="s">
        <v>95</v>
      </c>
      <c r="C10" s="2" t="s">
        <v>96</v>
      </c>
      <c r="D10" s="2" t="s">
        <v>97</v>
      </c>
      <c r="E10" s="2" t="s">
        <v>98</v>
      </c>
      <c r="F10" s="2" t="s">
        <v>99</v>
      </c>
      <c r="G10" s="2" t="s">
        <v>44</v>
      </c>
      <c r="H10" s="2" t="s">
        <v>45</v>
      </c>
      <c r="I10" s="2" t="s">
        <v>100</v>
      </c>
      <c r="J10" s="2" t="s">
        <v>101</v>
      </c>
    </row>
    <row r="11" spans="1:11">
      <c r="A11" s="1" t="s">
        <v>102</v>
      </c>
      <c r="C11" s="2" t="s">
        <v>103</v>
      </c>
      <c r="D11" s="2" t="s">
        <v>104</v>
      </c>
      <c r="E11" s="2" t="s">
        <v>105</v>
      </c>
      <c r="F11" s="2" t="s">
        <v>106</v>
      </c>
      <c r="G11" s="2" t="s">
        <v>93</v>
      </c>
      <c r="H11" s="2" t="s">
        <v>94</v>
      </c>
      <c r="I11" s="2" t="s">
        <v>107</v>
      </c>
      <c r="J11" s="2" t="s">
        <v>108</v>
      </c>
    </row>
    <row r="12" spans="1:11">
      <c r="A12" s="1" t="s">
        <v>109</v>
      </c>
      <c r="C12" s="2" t="s">
        <v>110</v>
      </c>
      <c r="D12" s="2" t="s">
        <v>111</v>
      </c>
      <c r="E12" s="2" t="s">
        <v>112</v>
      </c>
      <c r="F12" s="2" t="s">
        <v>113</v>
      </c>
      <c r="G12" s="2" t="s">
        <v>114</v>
      </c>
      <c r="H12" s="2" t="s">
        <v>115</v>
      </c>
      <c r="I12" s="2" t="s">
        <v>116</v>
      </c>
      <c r="J12" s="2" t="s">
        <v>117</v>
      </c>
    </row>
    <row r="13" spans="1:11">
      <c r="C13" s="2" t="s">
        <v>118</v>
      </c>
      <c r="D13" s="2" t="s">
        <v>119</v>
      </c>
      <c r="E13" s="2" t="s">
        <v>120</v>
      </c>
      <c r="F13" s="2" t="s">
        <v>121</v>
      </c>
      <c r="G13" s="2" t="s">
        <v>122</v>
      </c>
      <c r="H13" s="2" t="s">
        <v>123</v>
      </c>
      <c r="I13" s="2" t="s">
        <v>124</v>
      </c>
      <c r="J13" s="2" t="s">
        <v>125</v>
      </c>
    </row>
    <row r="14" spans="1:11">
      <c r="C14" s="2" t="s">
        <v>126</v>
      </c>
      <c r="D14" s="2" t="s">
        <v>127</v>
      </c>
      <c r="E14" s="2" t="s">
        <v>128</v>
      </c>
      <c r="F14" s="2" t="s">
        <v>129</v>
      </c>
      <c r="G14" s="2" t="s">
        <v>130</v>
      </c>
      <c r="H14" s="2" t="s">
        <v>131</v>
      </c>
      <c r="I14" s="2" t="s">
        <v>52</v>
      </c>
      <c r="J14" s="2" t="s">
        <v>53</v>
      </c>
    </row>
    <row r="15" spans="1:11">
      <c r="C15" s="2" t="s">
        <v>132</v>
      </c>
      <c r="D15" s="2" t="s">
        <v>133</v>
      </c>
      <c r="E15" s="2" t="s">
        <v>134</v>
      </c>
      <c r="F15" s="2" t="s">
        <v>135</v>
      </c>
      <c r="G15" s="2" t="s">
        <v>136</v>
      </c>
      <c r="H15" s="2" t="s">
        <v>137</v>
      </c>
      <c r="I15" s="2" t="s">
        <v>114</v>
      </c>
      <c r="J15" s="2" t="s">
        <v>115</v>
      </c>
    </row>
    <row r="16" spans="1:11">
      <c r="C16" s="2" t="s">
        <v>138</v>
      </c>
      <c r="D16" s="2" t="s">
        <v>139</v>
      </c>
      <c r="E16" s="2" t="s">
        <v>140</v>
      </c>
      <c r="F16" s="2" t="s">
        <v>141</v>
      </c>
      <c r="G16" s="2" t="s">
        <v>142</v>
      </c>
      <c r="H16" s="2" t="s">
        <v>143</v>
      </c>
      <c r="I16" s="2" t="s">
        <v>144</v>
      </c>
      <c r="J16" s="2" t="s">
        <v>145</v>
      </c>
    </row>
    <row r="17" spans="3:10">
      <c r="C17" s="2" t="s">
        <v>146</v>
      </c>
      <c r="D17" s="2" t="s">
        <v>147</v>
      </c>
      <c r="E17" s="2" t="s">
        <v>148</v>
      </c>
      <c r="F17" s="2" t="s">
        <v>149</v>
      </c>
      <c r="G17" s="2" t="s">
        <v>150</v>
      </c>
      <c r="H17" s="2" t="s">
        <v>151</v>
      </c>
      <c r="I17" s="2" t="s">
        <v>152</v>
      </c>
      <c r="J17" s="2" t="s">
        <v>153</v>
      </c>
    </row>
    <row r="18" spans="3:10">
      <c r="C18" s="2" t="s">
        <v>154</v>
      </c>
      <c r="D18" s="2" t="s">
        <v>155</v>
      </c>
      <c r="E18" s="2" t="s">
        <v>156</v>
      </c>
      <c r="F18" s="2" t="s">
        <v>157</v>
      </c>
      <c r="G18" s="2" t="s">
        <v>54</v>
      </c>
      <c r="H18" s="2" t="s">
        <v>55</v>
      </c>
      <c r="I18" s="2" t="s">
        <v>158</v>
      </c>
      <c r="J18" s="2" t="s">
        <v>159</v>
      </c>
    </row>
    <row r="19" spans="3:10">
      <c r="C19" s="2" t="s">
        <v>160</v>
      </c>
      <c r="D19" s="2" t="s">
        <v>161</v>
      </c>
      <c r="G19" s="2" t="s">
        <v>100</v>
      </c>
      <c r="H19" s="2" t="s">
        <v>101</v>
      </c>
      <c r="I19" s="2" t="s">
        <v>162</v>
      </c>
      <c r="J19" s="2" t="s">
        <v>163</v>
      </c>
    </row>
    <row r="20" spans="3:10">
      <c r="C20" s="2" t="s">
        <v>164</v>
      </c>
      <c r="D20" s="2" t="s">
        <v>165</v>
      </c>
      <c r="G20" s="2" t="s">
        <v>144</v>
      </c>
      <c r="H20" s="2" t="s">
        <v>145</v>
      </c>
      <c r="I20" s="2" t="s">
        <v>61</v>
      </c>
      <c r="J20" s="2" t="s">
        <v>62</v>
      </c>
    </row>
    <row r="21" spans="3:10">
      <c r="C21" s="2" t="s">
        <v>166</v>
      </c>
      <c r="D21" s="2" t="s">
        <v>167</v>
      </c>
      <c r="G21" s="2" t="s">
        <v>168</v>
      </c>
      <c r="H21" s="2" t="s">
        <v>169</v>
      </c>
      <c r="I21" s="2" t="s">
        <v>122</v>
      </c>
      <c r="J21" s="2" t="s">
        <v>123</v>
      </c>
    </row>
    <row r="22" spans="3:10">
      <c r="C22" s="2" t="s">
        <v>170</v>
      </c>
      <c r="D22" s="2" t="s">
        <v>171</v>
      </c>
      <c r="G22" s="2" t="s">
        <v>172</v>
      </c>
      <c r="H22" s="2" t="s">
        <v>173</v>
      </c>
      <c r="I22" s="2" t="s">
        <v>168</v>
      </c>
      <c r="J22" s="2" t="s">
        <v>169</v>
      </c>
    </row>
    <row r="23" spans="3:10">
      <c r="C23" s="2" t="s">
        <v>174</v>
      </c>
      <c r="D23" s="2" t="s">
        <v>175</v>
      </c>
      <c r="G23" s="2" t="s">
        <v>176</v>
      </c>
      <c r="H23" s="2" t="s">
        <v>177</v>
      </c>
      <c r="I23" s="2" t="s">
        <v>178</v>
      </c>
      <c r="J23" s="2" t="s">
        <v>179</v>
      </c>
    </row>
    <row r="24" spans="3:10">
      <c r="C24" s="2" t="s">
        <v>180</v>
      </c>
      <c r="D24" s="2" t="s">
        <v>181</v>
      </c>
      <c r="G24" s="2" t="s">
        <v>182</v>
      </c>
      <c r="H24" s="2" t="s">
        <v>183</v>
      </c>
      <c r="I24" s="2" t="s">
        <v>184</v>
      </c>
      <c r="J24" s="2" t="s">
        <v>185</v>
      </c>
    </row>
    <row r="25" spans="3:10">
      <c r="C25" s="2" t="s">
        <v>186</v>
      </c>
      <c r="D25" s="2" t="s">
        <v>187</v>
      </c>
      <c r="G25" s="2" t="s">
        <v>188</v>
      </c>
      <c r="H25" s="2" t="s">
        <v>189</v>
      </c>
      <c r="I25" s="2" t="s">
        <v>190</v>
      </c>
      <c r="J25" s="2" t="s">
        <v>191</v>
      </c>
    </row>
    <row r="26" spans="3:10">
      <c r="C26" s="2" t="s">
        <v>192</v>
      </c>
      <c r="D26" s="2" t="s">
        <v>193</v>
      </c>
      <c r="G26" s="44" t="s">
        <v>63</v>
      </c>
      <c r="H26" s="44" t="s">
        <v>64</v>
      </c>
    </row>
    <row r="27" spans="3:10">
      <c r="G27" s="2" t="s">
        <v>107</v>
      </c>
      <c r="H27" s="2" t="s">
        <v>108</v>
      </c>
    </row>
    <row r="28" spans="3:10">
      <c r="G28" s="2" t="s">
        <v>152</v>
      </c>
      <c r="H28" s="2" t="s">
        <v>153</v>
      </c>
    </row>
    <row r="29" spans="3:10">
      <c r="G29" s="2" t="s">
        <v>178</v>
      </c>
      <c r="H29" s="2" t="s">
        <v>179</v>
      </c>
    </row>
    <row r="30" spans="3:10">
      <c r="G30" s="2" t="s">
        <v>194</v>
      </c>
      <c r="H30" s="2" t="s">
        <v>195</v>
      </c>
    </row>
    <row r="31" spans="3:10">
      <c r="G31" s="2" t="s">
        <v>196</v>
      </c>
      <c r="H31" s="2" t="s">
        <v>197</v>
      </c>
    </row>
    <row r="32" spans="3:10">
      <c r="G32" s="2" t="s">
        <v>198</v>
      </c>
      <c r="H32" s="2" t="s">
        <v>199</v>
      </c>
    </row>
    <row r="33" spans="7:8">
      <c r="G33" s="2" t="s">
        <v>200</v>
      </c>
      <c r="H33" s="2" t="s">
        <v>201</v>
      </c>
    </row>
    <row r="34" spans="7:8">
      <c r="G34" s="2" t="s">
        <v>71</v>
      </c>
      <c r="H34" s="2" t="s">
        <v>72</v>
      </c>
    </row>
    <row r="35" spans="7:8">
      <c r="G35" s="2" t="s">
        <v>116</v>
      </c>
      <c r="H35" s="2" t="s">
        <v>117</v>
      </c>
    </row>
    <row r="36" spans="7:8">
      <c r="G36" s="2" t="s">
        <v>158</v>
      </c>
      <c r="H36" s="2" t="s">
        <v>159</v>
      </c>
    </row>
    <row r="37" spans="7:8">
      <c r="G37" s="2" t="s">
        <v>184</v>
      </c>
      <c r="H37" s="2" t="s">
        <v>185</v>
      </c>
    </row>
    <row r="38" spans="7:8">
      <c r="G38" s="2" t="s">
        <v>202</v>
      </c>
      <c r="H38" s="2" t="s">
        <v>203</v>
      </c>
    </row>
    <row r="39" spans="7:8">
      <c r="G39" s="2" t="s">
        <v>204</v>
      </c>
      <c r="H39" s="2" t="s">
        <v>205</v>
      </c>
    </row>
    <row r="40" spans="7:8">
      <c r="G40" s="2" t="s">
        <v>206</v>
      </c>
      <c r="H40" s="2" t="s">
        <v>207</v>
      </c>
    </row>
    <row r="41" spans="7:8">
      <c r="G41" s="2" t="s">
        <v>208</v>
      </c>
      <c r="H41" s="2" t="s">
        <v>209</v>
      </c>
    </row>
    <row r="42" spans="7:8">
      <c r="G42" s="2" t="s">
        <v>79</v>
      </c>
      <c r="H42" s="2" t="s">
        <v>80</v>
      </c>
    </row>
    <row r="43" spans="7:8">
      <c r="G43" s="2" t="s">
        <v>124</v>
      </c>
      <c r="H43" s="2" t="s">
        <v>125</v>
      </c>
    </row>
    <row r="44" spans="7:8">
      <c r="G44" s="2" t="s">
        <v>162</v>
      </c>
      <c r="H44" s="2" t="s">
        <v>163</v>
      </c>
    </row>
    <row r="45" spans="7:8">
      <c r="G45" s="2" t="s">
        <v>190</v>
      </c>
      <c r="H45" s="2" t="s">
        <v>191</v>
      </c>
    </row>
    <row r="46" spans="7:8">
      <c r="G46" s="2" t="s">
        <v>210</v>
      </c>
      <c r="H46" s="2" t="s">
        <v>211</v>
      </c>
    </row>
    <row r="47" spans="7:8">
      <c r="G47" s="2" t="s">
        <v>212</v>
      </c>
      <c r="H47" s="2" t="s">
        <v>213</v>
      </c>
    </row>
    <row r="48" spans="7:8">
      <c r="G48" s="2" t="s">
        <v>214</v>
      </c>
      <c r="H48" s="2" t="s">
        <v>215</v>
      </c>
    </row>
    <row r="49" spans="7:8">
      <c r="G49" s="2" t="s">
        <v>216</v>
      </c>
      <c r="H49" s="2" t="s">
        <v>217</v>
      </c>
    </row>
    <row r="50" spans="7:8">
      <c r="G50" s="2" t="s">
        <v>218</v>
      </c>
      <c r="H50" s="2" t="s">
        <v>219</v>
      </c>
    </row>
    <row r="51" spans="7:8">
      <c r="G51" s="2" t="s">
        <v>220</v>
      </c>
      <c r="H51" s="2" t="s">
        <v>221</v>
      </c>
    </row>
    <row r="52" spans="7:8">
      <c r="G52" s="2" t="s">
        <v>222</v>
      </c>
      <c r="H52" s="2" t="s">
        <v>223</v>
      </c>
    </row>
    <row r="53" spans="7:8">
      <c r="G53" s="2" t="s">
        <v>224</v>
      </c>
      <c r="H53" s="2" t="s">
        <v>225</v>
      </c>
    </row>
    <row r="54" spans="7:8">
      <c r="G54" s="2" t="s">
        <v>226</v>
      </c>
      <c r="H54" s="2" t="s">
        <v>227</v>
      </c>
    </row>
    <row r="55" spans="7:8">
      <c r="G55" s="2" t="s">
        <v>228</v>
      </c>
      <c r="H55" s="2" t="s">
        <v>229</v>
      </c>
    </row>
    <row r="56" spans="7:8">
      <c r="G56" s="2" t="s">
        <v>230</v>
      </c>
      <c r="H56" s="2" t="s">
        <v>231</v>
      </c>
    </row>
    <row r="57" spans="7:8">
      <c r="G57" s="2" t="s">
        <v>232</v>
      </c>
      <c r="H57" s="2" t="s">
        <v>233</v>
      </c>
    </row>
    <row r="58" spans="7:8">
      <c r="G58" s="2" t="s">
        <v>234</v>
      </c>
      <c r="H58" s="2" t="s">
        <v>235</v>
      </c>
    </row>
    <row r="59" spans="7:8">
      <c r="G59" s="2" t="s">
        <v>236</v>
      </c>
      <c r="H59" s="2" t="s">
        <v>237</v>
      </c>
    </row>
    <row r="60" spans="7:8">
      <c r="G60" s="2" t="s">
        <v>238</v>
      </c>
      <c r="H60" s="2" t="s">
        <v>239</v>
      </c>
    </row>
    <row r="61" spans="7:8">
      <c r="G61" s="2" t="s">
        <v>240</v>
      </c>
      <c r="H61" s="2" t="s">
        <v>241</v>
      </c>
    </row>
    <row r="62" spans="7:8">
      <c r="G62" s="2" t="s">
        <v>242</v>
      </c>
      <c r="H62" s="2" t="s">
        <v>243</v>
      </c>
    </row>
    <row r="63" spans="7:8">
      <c r="G63" s="2" t="s">
        <v>244</v>
      </c>
      <c r="H63" s="2" t="s">
        <v>245</v>
      </c>
    </row>
    <row r="64" spans="7:8">
      <c r="G64" s="2" t="s">
        <v>246</v>
      </c>
      <c r="H64" s="2" t="s">
        <v>247</v>
      </c>
    </row>
    <row r="65" spans="7:8">
      <c r="G65" s="2" t="s">
        <v>248</v>
      </c>
      <c r="H65" s="2" t="s">
        <v>249</v>
      </c>
    </row>
    <row r="66" spans="7:8">
      <c r="G66" s="2" t="s">
        <v>250</v>
      </c>
      <c r="H66" s="2" t="s">
        <v>251</v>
      </c>
    </row>
    <row r="67" spans="7:8">
      <c r="G67" s="2" t="s">
        <v>252</v>
      </c>
      <c r="H67" s="2" t="s">
        <v>253</v>
      </c>
    </row>
    <row r="68" spans="7:8">
      <c r="G68" s="2" t="s">
        <v>254</v>
      </c>
      <c r="H68" s="2" t="s">
        <v>255</v>
      </c>
    </row>
    <row r="69" spans="7:8">
      <c r="G69" s="2" t="s">
        <v>256</v>
      </c>
      <c r="H69" s="2" t="s">
        <v>257</v>
      </c>
    </row>
    <row r="70" spans="7:8">
      <c r="G70" s="2" t="s">
        <v>258</v>
      </c>
      <c r="H70" s="2" t="s">
        <v>259</v>
      </c>
    </row>
    <row r="71" spans="7:8">
      <c r="G71" s="2" t="s">
        <v>260</v>
      </c>
      <c r="H71" s="2" t="s">
        <v>261</v>
      </c>
    </row>
    <row r="72" spans="7:8">
      <c r="G72" s="2" t="s">
        <v>262</v>
      </c>
      <c r="H72" s="2" t="s">
        <v>263</v>
      </c>
    </row>
    <row r="73" spans="7:8">
      <c r="G73" s="2" t="s">
        <v>264</v>
      </c>
      <c r="H73" s="2" t="s">
        <v>265</v>
      </c>
    </row>
    <row r="74" spans="7:8">
      <c r="G74" s="2" t="s">
        <v>266</v>
      </c>
      <c r="H74" s="2" t="s">
        <v>267</v>
      </c>
    </row>
    <row r="75" spans="7:8">
      <c r="G75" s="2" t="s">
        <v>268</v>
      </c>
      <c r="H75" s="2" t="s">
        <v>269</v>
      </c>
    </row>
    <row r="76" spans="7:8">
      <c r="G76" s="2" t="s">
        <v>270</v>
      </c>
      <c r="H76" s="2" t="s">
        <v>271</v>
      </c>
    </row>
    <row r="77" spans="7:8">
      <c r="G77" s="2" t="s">
        <v>272</v>
      </c>
      <c r="H77" s="2" t="s">
        <v>273</v>
      </c>
    </row>
    <row r="78" spans="7:8">
      <c r="G78" s="2" t="s">
        <v>274</v>
      </c>
      <c r="H78" s="2" t="s">
        <v>275</v>
      </c>
    </row>
    <row r="79" spans="7:8">
      <c r="G79" s="2" t="s">
        <v>276</v>
      </c>
      <c r="H79" s="2" t="s">
        <v>277</v>
      </c>
    </row>
    <row r="80" spans="7:8">
      <c r="G80" s="2" t="s">
        <v>278</v>
      </c>
      <c r="H80" s="2" t="s">
        <v>279</v>
      </c>
    </row>
    <row r="81" spans="7:8">
      <c r="G81" s="2" t="s">
        <v>280</v>
      </c>
      <c r="H81" s="2" t="s">
        <v>281</v>
      </c>
    </row>
    <row r="82" spans="7:8">
      <c r="G82" s="2" t="s">
        <v>282</v>
      </c>
      <c r="H82" s="2" t="s">
        <v>283</v>
      </c>
    </row>
    <row r="83" spans="7:8">
      <c r="G83" s="2" t="s">
        <v>284</v>
      </c>
      <c r="H83" s="2" t="s">
        <v>285</v>
      </c>
    </row>
    <row r="84" spans="7:8">
      <c r="G84" s="2" t="s">
        <v>286</v>
      </c>
      <c r="H84" s="2" t="s">
        <v>287</v>
      </c>
    </row>
    <row r="85" spans="7:8">
      <c r="G85" s="2" t="s">
        <v>288</v>
      </c>
      <c r="H85" s="2" t="s">
        <v>289</v>
      </c>
    </row>
    <row r="86" spans="7:8">
      <c r="G86" s="2" t="s">
        <v>290</v>
      </c>
      <c r="H86" s="2" t="s">
        <v>291</v>
      </c>
    </row>
    <row r="87" spans="7:8">
      <c r="G87" s="2" t="s">
        <v>292</v>
      </c>
      <c r="H87" s="2" t="s">
        <v>293</v>
      </c>
    </row>
    <row r="88" spans="7:8">
      <c r="G88" s="2" t="s">
        <v>294</v>
      </c>
      <c r="H88" s="2" t="s">
        <v>295</v>
      </c>
    </row>
    <row r="89" spans="7:8">
      <c r="G89" s="2" t="s">
        <v>296</v>
      </c>
      <c r="H89" s="2" t="s">
        <v>297</v>
      </c>
    </row>
    <row r="90" spans="7:8">
      <c r="G90" s="2" t="s">
        <v>298</v>
      </c>
      <c r="H90" s="2" t="s">
        <v>299</v>
      </c>
    </row>
    <row r="91" spans="7:8">
      <c r="G91" s="2" t="s">
        <v>300</v>
      </c>
      <c r="H91" s="2" t="s">
        <v>301</v>
      </c>
    </row>
    <row r="92" spans="7:8">
      <c r="G92" s="2" t="s">
        <v>302</v>
      </c>
      <c r="H92" s="2" t="s">
        <v>303</v>
      </c>
    </row>
    <row r="93" spans="7:8">
      <c r="G93" s="2" t="s">
        <v>304</v>
      </c>
      <c r="H93" s="2" t="s">
        <v>305</v>
      </c>
    </row>
    <row r="94" spans="7:8">
      <c r="G94" s="2" t="s">
        <v>306</v>
      </c>
      <c r="H94" s="2" t="s">
        <v>307</v>
      </c>
    </row>
    <row r="95" spans="7:8">
      <c r="G95" s="2" t="s">
        <v>308</v>
      </c>
      <c r="H95" s="2" t="s">
        <v>309</v>
      </c>
    </row>
    <row r="96" spans="7:8">
      <c r="G96" s="2" t="s">
        <v>310</v>
      </c>
      <c r="H96" s="2" t="s">
        <v>311</v>
      </c>
    </row>
    <row r="97" spans="7:8">
      <c r="G97" s="2" t="s">
        <v>312</v>
      </c>
      <c r="H97" s="2" t="s">
        <v>313</v>
      </c>
    </row>
  </sheetData>
  <sheetProtection algorithmName="SHA-512" hashValue="yBJVIFvZwd/b0D12cQta81yxFomKncA/7+jq6DeUsqZKEMFxeM3Rjh1LNXNKS7ZvlSJR06b+5l4dvUZVEfYINg==" saltValue="Ms5PVmpP/l0tNY2g6rnSaQ==" spinCount="100000" sheet="1" objects="1" scenarios="1"/>
  <conditionalFormatting sqref="E11:E18">
    <cfRule type="duplicateValues" dxfId="31" priority="1"/>
  </conditionalFormatting>
  <pageMargins left="0.70866141732283472" right="0.70866141732283472" top="0.74803149606299213" bottom="0.74803149606299213" header="0.31496062992125984" footer="0.31496062992125984"/>
  <pageSetup scale="49" fitToHeight="0" orientation="portrait" horizontalDpi="300" verticalDpi="300" r:id="rId1"/>
  <headerFooter>
    <oddHeader>&amp;R&amp;G</oddHeader>
    <oddFooter>&amp;L&amp;8Version: 1.0&amp;C&amp;8&amp;P of &amp;N&amp;R&amp;8Revidováno: září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06E53-DF08-4035-A6A5-7CF8BEC26953}">
  <sheetPr codeName="Sheet16"/>
  <dimension ref="A1:C22"/>
  <sheetViews>
    <sheetView zoomScaleNormal="100" workbookViewId="0"/>
  </sheetViews>
  <sheetFormatPr defaultColWidth="8.5546875" defaultRowHeight="14.4"/>
  <cols>
    <col min="1" max="1" width="14.44140625" style="88" bestFit="1" customWidth="1"/>
    <col min="2" max="2" width="13.5546875" style="89" bestFit="1" customWidth="1"/>
    <col min="3" max="3" width="65" style="90" customWidth="1"/>
    <col min="4" max="16384" width="8.5546875" style="4"/>
  </cols>
  <sheetData>
    <row r="1" spans="1:3" s="94" customFormat="1" ht="41.4">
      <c r="A1" s="164" t="s">
        <v>967</v>
      </c>
      <c r="B1" s="165" t="s">
        <v>968</v>
      </c>
      <c r="C1" s="166" t="s">
        <v>969</v>
      </c>
    </row>
    <row r="2" spans="1:3" s="70" customFormat="1" ht="262.2">
      <c r="A2" s="161" t="s">
        <v>970</v>
      </c>
      <c r="B2" s="160" t="s">
        <v>971</v>
      </c>
      <c r="C2" s="117" t="s">
        <v>972</v>
      </c>
    </row>
    <row r="3" spans="1:3" s="70" customFormat="1" ht="64.05" customHeight="1">
      <c r="A3" s="162" t="s">
        <v>973</v>
      </c>
      <c r="B3" s="163" t="s">
        <v>974</v>
      </c>
      <c r="C3" s="117" t="s">
        <v>975</v>
      </c>
    </row>
    <row r="4" spans="1:3" s="70" customFormat="1" ht="55.2">
      <c r="A4" s="162" t="s">
        <v>976</v>
      </c>
      <c r="B4" s="163" t="s">
        <v>977</v>
      </c>
      <c r="C4" s="117" t="s">
        <v>978</v>
      </c>
    </row>
    <row r="5" spans="1:3" s="70" customFormat="1" ht="27.6">
      <c r="A5" s="162" t="s">
        <v>979</v>
      </c>
      <c r="B5" s="163" t="s">
        <v>980</v>
      </c>
      <c r="C5" s="117" t="s">
        <v>981</v>
      </c>
    </row>
    <row r="6" spans="1:3" s="70" customFormat="1" ht="68.25" customHeight="1">
      <c r="A6" s="177" t="s">
        <v>982</v>
      </c>
      <c r="B6" s="178" t="s">
        <v>983</v>
      </c>
      <c r="C6" s="179" t="s">
        <v>984</v>
      </c>
    </row>
    <row r="7" spans="1:3" s="70" customFormat="1" ht="27.6">
      <c r="A7" s="177" t="s">
        <v>985</v>
      </c>
      <c r="B7" s="178" t="s">
        <v>986</v>
      </c>
      <c r="C7" s="179" t="s">
        <v>987</v>
      </c>
    </row>
    <row r="8" spans="1:3" s="70" customFormat="1">
      <c r="A8" s="177" t="s">
        <v>988</v>
      </c>
      <c r="B8" s="178" t="s">
        <v>1577</v>
      </c>
      <c r="C8" s="179" t="s">
        <v>989</v>
      </c>
    </row>
    <row r="9" spans="1:3" s="70" customFormat="1">
      <c r="A9" s="88"/>
      <c r="B9" s="89"/>
      <c r="C9" s="90"/>
    </row>
    <row r="10" spans="1:3" s="70" customFormat="1">
      <c r="A10" s="88"/>
      <c r="B10" s="89"/>
      <c r="C10" s="90"/>
    </row>
    <row r="11" spans="1:3" s="70" customFormat="1">
      <c r="A11" s="88"/>
      <c r="B11" s="89"/>
      <c r="C11" s="90"/>
    </row>
    <row r="12" spans="1:3" s="70" customFormat="1">
      <c r="A12" s="88"/>
      <c r="B12" s="89"/>
      <c r="C12" s="90"/>
    </row>
    <row r="13" spans="1:3" s="70" customFormat="1">
      <c r="A13" s="88"/>
      <c r="B13" s="89"/>
      <c r="C13" s="90"/>
    </row>
    <row r="14" spans="1:3" s="70" customFormat="1">
      <c r="A14" s="88"/>
      <c r="B14" s="89"/>
      <c r="C14" s="90"/>
    </row>
    <row r="15" spans="1:3" s="70" customFormat="1">
      <c r="A15" s="88"/>
      <c r="B15" s="89"/>
      <c r="C15" s="90"/>
    </row>
    <row r="16" spans="1:3" s="70" customFormat="1">
      <c r="A16" s="88"/>
      <c r="B16" s="89"/>
      <c r="C16" s="90"/>
    </row>
    <row r="17" spans="1:3" s="70" customFormat="1">
      <c r="A17" s="88"/>
      <c r="B17" s="89"/>
      <c r="C17" s="90"/>
    </row>
    <row r="18" spans="1:3" s="70" customFormat="1">
      <c r="A18" s="88"/>
      <c r="B18" s="89"/>
      <c r="C18" s="90"/>
    </row>
    <row r="19" spans="1:3" s="70" customFormat="1">
      <c r="A19" s="88"/>
      <c r="B19" s="89"/>
      <c r="C19" s="90"/>
    </row>
    <row r="20" spans="1:3" s="70" customFormat="1">
      <c r="A20" s="88"/>
      <c r="B20" s="89"/>
      <c r="C20" s="90"/>
    </row>
    <row r="21" spans="1:3" s="70" customFormat="1">
      <c r="A21" s="88"/>
      <c r="B21" s="89"/>
      <c r="C21" s="90"/>
    </row>
    <row r="22" spans="1:3" s="70" customFormat="1">
      <c r="A22" s="88"/>
      <c r="B22" s="89"/>
      <c r="C22" s="90"/>
    </row>
  </sheetData>
  <sheetProtection algorithmName="SHA-512" hashValue="/1eySpzr05UxCKGYNew4mPkVlvbWmSc1AQT+FVm5EMChPwOrBOow+LqUgt/v9qgppJ15d+osEkQhZsaWjAkKEA==" saltValue="s/eSDb8kVga8zWTsVsvoZQ==" spinCount="100000" sheet="1" objects="1" scenarios="1"/>
  <pageMargins left="0.70866141732283472" right="0.70866141732283472" top="0.74803149606299213" bottom="0.74803149606299213" header="0.31496062992125984" footer="0.31496062992125984"/>
  <pageSetup scale="85" fitToHeight="0" orientation="portrait" r:id="rId1"/>
  <headerFooter>
    <oddHeader>&amp;R&amp;G</oddHeader>
    <oddFooter>&amp;L&amp;8Version: 1.0&amp;C&amp;8&amp;P of &amp;N&amp;R&amp;8Revidováno: září 2023</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C3D92-21CC-44D5-B9E2-FCBC33220FBD}">
  <sheetPr codeName="Sheet22"/>
  <dimension ref="A1:AA297"/>
  <sheetViews>
    <sheetView zoomScaleNormal="100" workbookViewId="0">
      <selection activeCell="H50" sqref="H50:J50"/>
    </sheetView>
  </sheetViews>
  <sheetFormatPr defaultColWidth="8.5546875" defaultRowHeight="20.25" customHeight="1"/>
  <cols>
    <col min="1" max="1" width="13.5546875" style="5" customWidth="1"/>
    <col min="2" max="5" width="12.5546875" style="5" customWidth="1"/>
    <col min="6" max="6" width="12.5546875" style="74" customWidth="1"/>
    <col min="7" max="7" width="24.77734375" style="74" customWidth="1"/>
    <col min="8" max="10" width="12.5546875" style="115" customWidth="1"/>
    <col min="11" max="11" width="22.44140625" style="74" customWidth="1"/>
    <col min="12" max="15" width="8.5546875" style="5"/>
    <col min="16" max="16" width="14.5546875" style="5" customWidth="1"/>
    <col min="17" max="16384" width="8.5546875" style="5"/>
  </cols>
  <sheetData>
    <row r="1" spans="1:11" ht="20.25" customHeight="1">
      <c r="A1" s="373" t="s">
        <v>990</v>
      </c>
      <c r="B1" s="373"/>
      <c r="C1" s="373"/>
      <c r="D1" s="373"/>
      <c r="E1" s="373"/>
      <c r="F1" s="373"/>
      <c r="G1" s="373"/>
      <c r="H1" s="373"/>
      <c r="I1" s="373"/>
      <c r="J1" s="373"/>
      <c r="K1" s="373"/>
    </row>
    <row r="2" spans="1:11" ht="15.6" customHeight="1">
      <c r="A2" s="367" t="s">
        <v>991</v>
      </c>
      <c r="B2" s="313"/>
      <c r="C2" s="365" t="s">
        <v>992</v>
      </c>
      <c r="D2" s="366"/>
      <c r="E2" s="297"/>
      <c r="F2" s="367" t="s">
        <v>993</v>
      </c>
      <c r="G2" s="313"/>
      <c r="H2" s="331" t="s">
        <v>994</v>
      </c>
      <c r="I2" s="331"/>
      <c r="J2" s="331"/>
      <c r="K2" s="331"/>
    </row>
    <row r="3" spans="1:11" ht="7.35" customHeight="1">
      <c r="A3" s="129"/>
      <c r="B3" s="128"/>
      <c r="C3" s="128"/>
      <c r="D3" s="128"/>
      <c r="E3" s="128"/>
      <c r="F3" s="128"/>
      <c r="G3" s="128"/>
      <c r="H3" s="128"/>
      <c r="I3" s="128"/>
      <c r="J3" s="128"/>
      <c r="K3" s="156"/>
    </row>
    <row r="4" spans="1:11" ht="20.25" customHeight="1">
      <c r="A4" s="374" t="s">
        <v>995</v>
      </c>
      <c r="B4" s="354"/>
      <c r="C4" s="354"/>
      <c r="D4" s="354"/>
      <c r="E4" s="354"/>
      <c r="F4" s="354"/>
      <c r="G4" s="354"/>
      <c r="H4" s="354"/>
      <c r="I4" s="354"/>
      <c r="J4" s="354"/>
      <c r="K4" s="354"/>
    </row>
    <row r="5" spans="1:11" ht="114.75" customHeight="1">
      <c r="A5" s="316" t="s">
        <v>996</v>
      </c>
      <c r="B5" s="380"/>
      <c r="C5" s="380"/>
      <c r="D5" s="380"/>
      <c r="E5" s="380"/>
      <c r="F5" s="380"/>
      <c r="G5" s="380"/>
      <c r="H5" s="380"/>
      <c r="I5" s="380"/>
      <c r="J5" s="380"/>
      <c r="K5" s="380"/>
    </row>
    <row r="6" spans="1:11" ht="20.25" customHeight="1">
      <c r="A6" s="374" t="s">
        <v>997</v>
      </c>
      <c r="B6" s="354"/>
      <c r="C6" s="354"/>
      <c r="D6" s="354"/>
      <c r="E6" s="354"/>
      <c r="F6" s="354"/>
      <c r="G6" s="354"/>
      <c r="H6" s="354"/>
      <c r="I6" s="354"/>
      <c r="J6" s="354"/>
      <c r="K6" s="354"/>
    </row>
    <row r="7" spans="1:11" ht="20.85" customHeight="1">
      <c r="A7" s="364" t="s">
        <v>998</v>
      </c>
      <c r="B7" s="248"/>
      <c r="C7" s="248"/>
      <c r="D7" s="241" t="s">
        <v>999</v>
      </c>
      <c r="E7" s="248"/>
      <c r="F7" s="248"/>
      <c r="G7" s="248"/>
      <c r="H7" s="248"/>
      <c r="I7" s="248"/>
      <c r="J7" s="248"/>
      <c r="K7" s="248"/>
    </row>
    <row r="8" spans="1:11" ht="20.85" customHeight="1">
      <c r="A8" s="364" t="s">
        <v>1000</v>
      </c>
      <c r="B8" s="248"/>
      <c r="C8" s="248"/>
      <c r="D8" s="241" t="s">
        <v>1001</v>
      </c>
      <c r="E8" s="248"/>
      <c r="F8" s="248"/>
      <c r="G8" s="248"/>
      <c r="H8" s="248"/>
      <c r="I8" s="248"/>
      <c r="J8" s="248"/>
      <c r="K8" s="248"/>
    </row>
    <row r="9" spans="1:11" ht="20.85" customHeight="1">
      <c r="A9" s="364" t="s">
        <v>1002</v>
      </c>
      <c r="B9" s="248"/>
      <c r="C9" s="248"/>
      <c r="D9" s="253" t="s">
        <v>1003</v>
      </c>
      <c r="E9" s="254"/>
      <c r="F9" s="254"/>
      <c r="G9" s="254"/>
      <c r="H9" s="254"/>
      <c r="I9" s="254"/>
      <c r="J9" s="254"/>
      <c r="K9" s="254"/>
    </row>
    <row r="10" spans="1:11" ht="20.85" customHeight="1">
      <c r="A10" s="364" t="s">
        <v>1004</v>
      </c>
      <c r="B10" s="248"/>
      <c r="C10" s="248"/>
      <c r="D10" s="241" t="s">
        <v>1005</v>
      </c>
      <c r="E10" s="248"/>
      <c r="F10" s="248"/>
      <c r="G10" s="248"/>
      <c r="H10" s="248"/>
      <c r="I10" s="248"/>
      <c r="J10" s="248"/>
      <c r="K10" s="248"/>
    </row>
    <row r="11" spans="1:11" ht="20.25" customHeight="1">
      <c r="A11" s="368" t="s">
        <v>1006</v>
      </c>
      <c r="B11" s="369"/>
      <c r="C11" s="369"/>
      <c r="D11" s="369"/>
      <c r="E11" s="369"/>
      <c r="F11" s="369"/>
      <c r="G11" s="369"/>
      <c r="H11" s="369"/>
      <c r="I11" s="369"/>
      <c r="J11" s="369"/>
      <c r="K11" s="369"/>
    </row>
    <row r="12" spans="1:11" ht="14.55" customHeight="1">
      <c r="A12" s="316" t="s">
        <v>1007</v>
      </c>
      <c r="B12" s="253"/>
      <c r="C12" s="253"/>
      <c r="D12" s="253"/>
      <c r="E12" s="253"/>
      <c r="F12" s="253"/>
      <c r="G12" s="253"/>
      <c r="H12" s="253"/>
      <c r="I12" s="253"/>
      <c r="J12" s="253"/>
      <c r="K12" s="253"/>
    </row>
    <row r="13" spans="1:11" ht="14.55" customHeight="1">
      <c r="A13" s="316" t="s">
        <v>1008</v>
      </c>
      <c r="B13" s="253"/>
      <c r="C13" s="253"/>
      <c r="D13" s="253"/>
      <c r="E13" s="253"/>
      <c r="F13" s="253"/>
      <c r="G13" s="253"/>
      <c r="H13" s="253"/>
      <c r="I13" s="253"/>
      <c r="J13" s="253"/>
      <c r="K13" s="253"/>
    </row>
    <row r="14" spans="1:11" ht="14.55" customHeight="1">
      <c r="A14" s="316" t="s">
        <v>1009</v>
      </c>
      <c r="B14" s="253"/>
      <c r="C14" s="253"/>
      <c r="D14" s="253"/>
      <c r="E14" s="253"/>
      <c r="F14" s="253"/>
      <c r="G14" s="253"/>
      <c r="H14" s="253"/>
      <c r="I14" s="253"/>
      <c r="J14" s="253"/>
      <c r="K14" s="253"/>
    </row>
    <row r="15" spans="1:11" ht="14.55" customHeight="1">
      <c r="A15" s="316" t="s">
        <v>1010</v>
      </c>
      <c r="B15" s="253"/>
      <c r="C15" s="253"/>
      <c r="D15" s="253"/>
      <c r="E15" s="253"/>
      <c r="F15" s="253"/>
      <c r="G15" s="253"/>
      <c r="H15" s="253"/>
      <c r="I15" s="253"/>
      <c r="J15" s="253"/>
      <c r="K15" s="253"/>
    </row>
    <row r="16" spans="1:11" ht="14.55" customHeight="1">
      <c r="A16" s="316" t="s">
        <v>1011</v>
      </c>
      <c r="B16" s="253"/>
      <c r="C16" s="253"/>
      <c r="D16" s="253"/>
      <c r="E16" s="253"/>
      <c r="F16" s="253"/>
      <c r="G16" s="253"/>
      <c r="H16" s="253"/>
      <c r="I16" s="253"/>
      <c r="J16" s="253"/>
      <c r="K16" s="253"/>
    </row>
    <row r="17" spans="1:15" ht="14.55" customHeight="1">
      <c r="A17" s="316" t="s">
        <v>1012</v>
      </c>
      <c r="B17" s="253"/>
      <c r="C17" s="253"/>
      <c r="D17" s="253"/>
      <c r="E17" s="253"/>
      <c r="F17" s="253"/>
      <c r="G17" s="253"/>
      <c r="H17" s="253"/>
      <c r="I17" s="253"/>
      <c r="J17" s="253"/>
      <c r="K17" s="253"/>
    </row>
    <row r="18" spans="1:15" ht="91.05" customHeight="1">
      <c r="A18" s="183" t="s">
        <v>1013</v>
      </c>
      <c r="B18" s="326" t="s">
        <v>1014</v>
      </c>
      <c r="C18" s="327"/>
      <c r="D18" s="327"/>
      <c r="E18" s="327"/>
      <c r="F18" s="327"/>
      <c r="G18" s="327"/>
      <c r="H18" s="327"/>
      <c r="I18" s="327"/>
      <c r="J18" s="327"/>
      <c r="K18" s="328"/>
    </row>
    <row r="19" spans="1:15" ht="21">
      <c r="A19" s="352" t="s">
        <v>1015</v>
      </c>
      <c r="B19" s="353"/>
      <c r="C19" s="353"/>
      <c r="D19" s="353"/>
      <c r="E19" s="353"/>
      <c r="F19" s="353"/>
      <c r="G19" s="353"/>
      <c r="H19" s="353"/>
      <c r="I19" s="353"/>
      <c r="J19" s="353"/>
      <c r="K19" s="353"/>
    </row>
    <row r="20" spans="1:15" ht="31.2">
      <c r="A20" s="131" t="s">
        <v>1016</v>
      </c>
      <c r="B20" s="131" t="s">
        <v>1017</v>
      </c>
      <c r="C20" s="354" t="s">
        <v>1018</v>
      </c>
      <c r="D20" s="248"/>
      <c r="E20" s="248"/>
      <c r="F20" s="354" t="s">
        <v>1019</v>
      </c>
      <c r="G20" s="335"/>
      <c r="H20" s="355" t="s">
        <v>1020</v>
      </c>
      <c r="I20" s="356"/>
      <c r="J20" s="356"/>
      <c r="K20" s="131" t="s">
        <v>1021</v>
      </c>
    </row>
    <row r="21" spans="1:15" ht="100.35" customHeight="1">
      <c r="A21" s="130" t="s">
        <v>1022</v>
      </c>
      <c r="B21" s="159" t="s">
        <v>1023</v>
      </c>
      <c r="C21" s="337" t="s">
        <v>1024</v>
      </c>
      <c r="D21" s="248"/>
      <c r="E21" s="248"/>
      <c r="F21" s="336" t="s">
        <v>1025</v>
      </c>
      <c r="G21" s="335"/>
      <c r="H21" s="329" t="s">
        <v>1026</v>
      </c>
      <c r="I21" s="338"/>
      <c r="J21" s="338"/>
      <c r="K21" s="69"/>
    </row>
    <row r="22" spans="1:15" ht="7.35" customHeight="1">
      <c r="A22" s="129"/>
      <c r="B22" s="128"/>
      <c r="C22" s="128"/>
      <c r="D22" s="128"/>
      <c r="E22" s="128"/>
      <c r="F22" s="128"/>
      <c r="G22" s="128"/>
      <c r="H22" s="128"/>
      <c r="I22" s="128"/>
      <c r="J22" s="128"/>
      <c r="K22" s="156"/>
    </row>
    <row r="23" spans="1:15" ht="21">
      <c r="A23" s="352" t="s">
        <v>1027</v>
      </c>
      <c r="B23" s="353"/>
      <c r="C23" s="353"/>
      <c r="D23" s="353"/>
      <c r="E23" s="353"/>
      <c r="F23" s="353"/>
      <c r="G23" s="353"/>
      <c r="H23" s="353"/>
      <c r="I23" s="353"/>
      <c r="J23" s="353"/>
      <c r="K23" s="353"/>
    </row>
    <row r="24" spans="1:15" ht="31.2">
      <c r="A24" s="131" t="s">
        <v>1016</v>
      </c>
      <c r="B24" s="131" t="s">
        <v>1017</v>
      </c>
      <c r="C24" s="354" t="s">
        <v>1018</v>
      </c>
      <c r="D24" s="248"/>
      <c r="E24" s="248"/>
      <c r="F24" s="354" t="s">
        <v>1019</v>
      </c>
      <c r="G24" s="335"/>
      <c r="H24" s="355" t="s">
        <v>1020</v>
      </c>
      <c r="I24" s="356"/>
      <c r="J24" s="356"/>
      <c r="K24" s="131" t="s">
        <v>1028</v>
      </c>
    </row>
    <row r="25" spans="1:15" ht="105.6" customHeight="1">
      <c r="A25" s="130" t="s">
        <v>1022</v>
      </c>
      <c r="B25" s="159" t="s">
        <v>1029</v>
      </c>
      <c r="C25" s="331" t="s">
        <v>1030</v>
      </c>
      <c r="D25" s="248"/>
      <c r="E25" s="248"/>
      <c r="F25" s="336" t="s">
        <v>1025</v>
      </c>
      <c r="G25" s="335"/>
      <c r="H25" s="329" t="s">
        <v>1031</v>
      </c>
      <c r="I25" s="350"/>
      <c r="J25" s="350"/>
      <c r="K25" s="69"/>
    </row>
    <row r="26" spans="1:15" ht="106.5" customHeight="1">
      <c r="A26" s="130" t="s">
        <v>1022</v>
      </c>
      <c r="B26" s="159" t="s">
        <v>1023</v>
      </c>
      <c r="C26" s="337" t="s">
        <v>1024</v>
      </c>
      <c r="D26" s="248"/>
      <c r="E26" s="248"/>
      <c r="F26" s="336" t="s">
        <v>1025</v>
      </c>
      <c r="G26" s="335"/>
      <c r="H26" s="329" t="s">
        <v>1032</v>
      </c>
      <c r="I26" s="338"/>
      <c r="J26" s="338"/>
      <c r="K26" s="69"/>
    </row>
    <row r="27" spans="1:15" ht="7.35" customHeight="1">
      <c r="A27" s="129"/>
      <c r="B27" s="128"/>
      <c r="C27" s="128"/>
      <c r="D27" s="128"/>
      <c r="E27" s="128"/>
      <c r="F27" s="128"/>
      <c r="G27" s="128"/>
      <c r="H27" s="128"/>
      <c r="I27" s="128"/>
      <c r="J27" s="128"/>
      <c r="K27" s="156"/>
    </row>
    <row r="28" spans="1:15" ht="21">
      <c r="A28" s="352" t="s">
        <v>1033</v>
      </c>
      <c r="B28" s="353"/>
      <c r="C28" s="353"/>
      <c r="D28" s="353"/>
      <c r="E28" s="353"/>
      <c r="F28" s="353"/>
      <c r="G28" s="353"/>
      <c r="H28" s="353"/>
      <c r="I28" s="353"/>
      <c r="J28" s="353"/>
      <c r="K28" s="353"/>
    </row>
    <row r="29" spans="1:15" ht="31.2">
      <c r="A29" s="131" t="s">
        <v>1016</v>
      </c>
      <c r="B29" s="131" t="s">
        <v>1017</v>
      </c>
      <c r="C29" s="354" t="s">
        <v>1018</v>
      </c>
      <c r="D29" s="248"/>
      <c r="E29" s="248"/>
      <c r="F29" s="354" t="s">
        <v>1019</v>
      </c>
      <c r="G29" s="335"/>
      <c r="H29" s="355" t="s">
        <v>1020</v>
      </c>
      <c r="I29" s="356"/>
      <c r="J29" s="356"/>
      <c r="K29" s="131" t="s">
        <v>1028</v>
      </c>
    </row>
    <row r="30" spans="1:15" ht="105.6" customHeight="1">
      <c r="A30" s="130" t="s">
        <v>1022</v>
      </c>
      <c r="B30" s="159" t="s">
        <v>1029</v>
      </c>
      <c r="C30" s="331" t="s">
        <v>1030</v>
      </c>
      <c r="D30" s="248"/>
      <c r="E30" s="248"/>
      <c r="F30" s="336" t="s">
        <v>1025</v>
      </c>
      <c r="G30" s="335"/>
      <c r="H30" s="329" t="s">
        <v>1034</v>
      </c>
      <c r="I30" s="350"/>
      <c r="J30" s="350"/>
      <c r="K30" s="69"/>
    </row>
    <row r="31" spans="1:15" ht="100.35" customHeight="1">
      <c r="A31" s="130" t="s">
        <v>1022</v>
      </c>
      <c r="B31" s="159" t="s">
        <v>1023</v>
      </c>
      <c r="C31" s="337" t="s">
        <v>1024</v>
      </c>
      <c r="D31" s="248"/>
      <c r="E31" s="248"/>
      <c r="F31" s="336" t="s">
        <v>1025</v>
      </c>
      <c r="G31" s="335"/>
      <c r="H31" s="329" t="s">
        <v>1026</v>
      </c>
      <c r="I31" s="338"/>
      <c r="J31" s="338"/>
      <c r="K31" s="69"/>
      <c r="O31" s="4"/>
    </row>
    <row r="32" spans="1:15" ht="100.35" customHeight="1">
      <c r="A32" s="130" t="s">
        <v>1035</v>
      </c>
      <c r="B32" s="159" t="s">
        <v>1036</v>
      </c>
      <c r="C32" s="337" t="s">
        <v>1037</v>
      </c>
      <c r="D32" s="248"/>
      <c r="E32" s="248"/>
      <c r="F32" s="332" t="s">
        <v>1038</v>
      </c>
      <c r="G32" s="333"/>
      <c r="H32" s="329" t="s">
        <v>1039</v>
      </c>
      <c r="I32" s="338"/>
      <c r="J32" s="338"/>
      <c r="K32" s="69"/>
      <c r="O32" s="4"/>
    </row>
    <row r="33" spans="1:11" ht="7.35" customHeight="1">
      <c r="A33" s="129"/>
      <c r="B33" s="128"/>
      <c r="C33" s="128"/>
      <c r="D33" s="128"/>
      <c r="E33" s="128"/>
      <c r="F33" s="128"/>
      <c r="G33" s="128"/>
      <c r="H33" s="128"/>
      <c r="I33" s="128"/>
      <c r="J33" s="128"/>
      <c r="K33" s="156"/>
    </row>
    <row r="34" spans="1:11" ht="21">
      <c r="A34" s="352" t="s">
        <v>1040</v>
      </c>
      <c r="B34" s="353"/>
      <c r="C34" s="353"/>
      <c r="D34" s="353"/>
      <c r="E34" s="353"/>
      <c r="F34" s="353"/>
      <c r="G34" s="353"/>
      <c r="H34" s="353"/>
      <c r="I34" s="353"/>
      <c r="J34" s="353"/>
      <c r="K34" s="353"/>
    </row>
    <row r="35" spans="1:11" ht="31.2">
      <c r="A35" s="131" t="s">
        <v>1016</v>
      </c>
      <c r="B35" s="131" t="s">
        <v>1017</v>
      </c>
      <c r="C35" s="354" t="s">
        <v>1018</v>
      </c>
      <c r="D35" s="248"/>
      <c r="E35" s="248"/>
      <c r="F35" s="354" t="s">
        <v>1019</v>
      </c>
      <c r="G35" s="335"/>
      <c r="H35" s="355" t="s">
        <v>1020</v>
      </c>
      <c r="I35" s="356"/>
      <c r="J35" s="356"/>
      <c r="K35" s="131" t="s">
        <v>1021</v>
      </c>
    </row>
    <row r="36" spans="1:11" ht="100.35" customHeight="1">
      <c r="A36" s="130" t="s">
        <v>1022</v>
      </c>
      <c r="B36" s="159" t="s">
        <v>1023</v>
      </c>
      <c r="C36" s="337" t="s">
        <v>1024</v>
      </c>
      <c r="D36" s="317"/>
      <c r="E36" s="317"/>
      <c r="F36" s="336" t="s">
        <v>1025</v>
      </c>
      <c r="G36" s="357"/>
      <c r="H36" s="329" t="s">
        <v>1041</v>
      </c>
      <c r="I36" s="350"/>
      <c r="J36" s="350"/>
      <c r="K36" s="138"/>
    </row>
    <row r="37" spans="1:11" s="16" customFormat="1" ht="189.75" customHeight="1">
      <c r="A37" s="130" t="s">
        <v>1042</v>
      </c>
      <c r="B37" s="159" t="s">
        <v>1043</v>
      </c>
      <c r="C37" s="337" t="s">
        <v>1044</v>
      </c>
      <c r="D37" s="317"/>
      <c r="E37" s="317"/>
      <c r="F37" s="336" t="s">
        <v>1025</v>
      </c>
      <c r="G37" s="357"/>
      <c r="H37" s="329" t="s">
        <v>1045</v>
      </c>
      <c r="I37" s="350"/>
      <c r="J37" s="350"/>
      <c r="K37" s="157"/>
    </row>
    <row r="38" spans="1:11" s="16" customFormat="1" ht="189.75" customHeight="1">
      <c r="A38" s="130" t="s">
        <v>1042</v>
      </c>
      <c r="B38" s="159" t="s">
        <v>1046</v>
      </c>
      <c r="C38" s="370" t="s">
        <v>1047</v>
      </c>
      <c r="D38" s="371"/>
      <c r="E38" s="372"/>
      <c r="F38" s="345" t="s">
        <v>1025</v>
      </c>
      <c r="G38" s="346"/>
      <c r="H38" s="347" t="s">
        <v>1048</v>
      </c>
      <c r="I38" s="348"/>
      <c r="J38" s="349"/>
      <c r="K38" s="157"/>
    </row>
    <row r="39" spans="1:11" ht="7.35" customHeight="1">
      <c r="A39" s="129"/>
      <c r="B39" s="128"/>
      <c r="C39" s="128"/>
      <c r="D39" s="128"/>
      <c r="E39" s="128"/>
      <c r="F39" s="128"/>
      <c r="G39" s="128"/>
      <c r="H39" s="128"/>
      <c r="I39" s="128"/>
      <c r="J39" s="128"/>
      <c r="K39" s="156"/>
    </row>
    <row r="40" spans="1:11" ht="20.25" customHeight="1">
      <c r="A40" s="382" t="s">
        <v>1049</v>
      </c>
      <c r="B40" s="383"/>
      <c r="C40" s="383"/>
      <c r="D40" s="383"/>
      <c r="E40" s="383"/>
      <c r="F40" s="383"/>
      <c r="G40" s="383"/>
      <c r="H40" s="383"/>
      <c r="I40" s="383"/>
      <c r="J40" s="383"/>
      <c r="K40" s="384"/>
    </row>
    <row r="41" spans="1:11" ht="31.2">
      <c r="A41" s="131" t="s">
        <v>1016</v>
      </c>
      <c r="B41" s="131" t="s">
        <v>1017</v>
      </c>
      <c r="C41" s="375" t="s">
        <v>1018</v>
      </c>
      <c r="D41" s="381"/>
      <c r="E41" s="376"/>
      <c r="F41" s="375" t="s">
        <v>1019</v>
      </c>
      <c r="G41" s="376"/>
      <c r="H41" s="377" t="s">
        <v>1020</v>
      </c>
      <c r="I41" s="378"/>
      <c r="J41" s="379"/>
      <c r="K41" s="131" t="s">
        <v>1050</v>
      </c>
    </row>
    <row r="42" spans="1:11" ht="104.85" customHeight="1">
      <c r="A42" s="159" t="s">
        <v>1051</v>
      </c>
      <c r="B42" s="159" t="s">
        <v>1023</v>
      </c>
      <c r="C42" s="342" t="s">
        <v>1052</v>
      </c>
      <c r="D42" s="343"/>
      <c r="E42" s="344"/>
      <c r="F42" s="345" t="s">
        <v>1025</v>
      </c>
      <c r="G42" s="346"/>
      <c r="H42" s="347" t="s">
        <v>1053</v>
      </c>
      <c r="I42" s="348"/>
      <c r="J42" s="349"/>
      <c r="K42" s="69"/>
    </row>
    <row r="43" spans="1:11" ht="131.55000000000001" customHeight="1">
      <c r="A43" s="159" t="s">
        <v>1054</v>
      </c>
      <c r="B43" s="159" t="s">
        <v>1055</v>
      </c>
      <c r="C43" s="342" t="s">
        <v>1056</v>
      </c>
      <c r="D43" s="343"/>
      <c r="E43" s="344"/>
      <c r="F43" s="345" t="s">
        <v>1025</v>
      </c>
      <c r="G43" s="346"/>
      <c r="H43" s="347" t="s">
        <v>1057</v>
      </c>
      <c r="I43" s="348"/>
      <c r="J43" s="349"/>
      <c r="K43" s="69"/>
    </row>
    <row r="44" spans="1:11" ht="118.35" customHeight="1">
      <c r="A44" s="159" t="s">
        <v>202</v>
      </c>
      <c r="B44" s="159" t="s">
        <v>1058</v>
      </c>
      <c r="C44" s="337" t="s">
        <v>1059</v>
      </c>
      <c r="D44" s="248"/>
      <c r="E44" s="248"/>
      <c r="F44" s="339" t="s">
        <v>1060</v>
      </c>
      <c r="G44" s="340"/>
      <c r="H44" s="329" t="s">
        <v>1061</v>
      </c>
      <c r="I44" s="338"/>
      <c r="J44" s="338"/>
      <c r="K44" s="69"/>
    </row>
    <row r="45" spans="1:11" ht="103.35" customHeight="1">
      <c r="A45" s="159" t="s">
        <v>210</v>
      </c>
      <c r="B45" s="159" t="s">
        <v>1062</v>
      </c>
      <c r="C45" s="337" t="s">
        <v>1059</v>
      </c>
      <c r="D45" s="248"/>
      <c r="E45" s="248"/>
      <c r="F45" s="339" t="s">
        <v>1060</v>
      </c>
      <c r="G45" s="340"/>
      <c r="H45" s="329" t="s">
        <v>1063</v>
      </c>
      <c r="I45" s="338"/>
      <c r="J45" s="338"/>
      <c r="K45" s="69"/>
    </row>
    <row r="46" spans="1:11" ht="103.35" customHeight="1">
      <c r="A46" s="159" t="s">
        <v>210</v>
      </c>
      <c r="B46" s="159" t="s">
        <v>1064</v>
      </c>
      <c r="C46" s="337" t="s">
        <v>1065</v>
      </c>
      <c r="D46" s="248"/>
      <c r="E46" s="248"/>
      <c r="F46" s="339" t="s">
        <v>1060</v>
      </c>
      <c r="G46" s="340"/>
      <c r="H46" s="329" t="s">
        <v>1063</v>
      </c>
      <c r="I46" s="338"/>
      <c r="J46" s="338"/>
      <c r="K46" s="69"/>
    </row>
    <row r="47" spans="1:11" ht="363.6" customHeight="1">
      <c r="A47" s="130" t="s">
        <v>226</v>
      </c>
      <c r="B47" s="159" t="s">
        <v>1066</v>
      </c>
      <c r="C47" s="331" t="s">
        <v>1067</v>
      </c>
      <c r="D47" s="248"/>
      <c r="E47" s="248"/>
      <c r="F47" s="332" t="s">
        <v>1068</v>
      </c>
      <c r="G47" s="333"/>
      <c r="H47" s="329" t="s">
        <v>1069</v>
      </c>
      <c r="I47" s="330"/>
      <c r="J47" s="330"/>
      <c r="K47" s="69"/>
    </row>
    <row r="48" spans="1:11" ht="146.55000000000001" customHeight="1">
      <c r="A48" s="159" t="s">
        <v>1070</v>
      </c>
      <c r="B48" s="159" t="s">
        <v>1071</v>
      </c>
      <c r="C48" s="337" t="s">
        <v>1059</v>
      </c>
      <c r="D48" s="248"/>
      <c r="E48" s="248"/>
      <c r="F48" s="339" t="s">
        <v>1060</v>
      </c>
      <c r="G48" s="340"/>
      <c r="H48" s="329" t="s">
        <v>1072</v>
      </c>
      <c r="I48" s="338"/>
      <c r="J48" s="338"/>
      <c r="K48" s="69"/>
    </row>
    <row r="49" spans="1:27" ht="144.6" customHeight="1">
      <c r="A49" s="159" t="s">
        <v>1073</v>
      </c>
      <c r="B49" s="159" t="s">
        <v>1074</v>
      </c>
      <c r="C49" s="337" t="s">
        <v>1059</v>
      </c>
      <c r="D49" s="248"/>
      <c r="E49" s="248"/>
      <c r="F49" s="339" t="s">
        <v>1060</v>
      </c>
      <c r="G49" s="340"/>
      <c r="H49" s="329" t="s">
        <v>1075</v>
      </c>
      <c r="I49" s="338"/>
      <c r="J49" s="338"/>
      <c r="K49" s="69"/>
    </row>
    <row r="50" spans="1:27" ht="176.55" customHeight="1">
      <c r="A50" s="159" t="s">
        <v>1076</v>
      </c>
      <c r="B50" s="159" t="s">
        <v>1074</v>
      </c>
      <c r="C50" s="337" t="s">
        <v>1059</v>
      </c>
      <c r="D50" s="248"/>
      <c r="E50" s="248"/>
      <c r="F50" s="339" t="s">
        <v>1060</v>
      </c>
      <c r="G50" s="340"/>
      <c r="H50" s="329" t="s">
        <v>1077</v>
      </c>
      <c r="I50" s="338"/>
      <c r="J50" s="338"/>
      <c r="K50" s="69"/>
      <c r="V50" s="1"/>
      <c r="W50" s="1"/>
      <c r="X50" s="1"/>
      <c r="Y50" s="1"/>
      <c r="Z50" s="1"/>
      <c r="AA50" s="1"/>
    </row>
    <row r="51" spans="1:27" ht="7.35" customHeight="1">
      <c r="A51" s="129"/>
      <c r="B51" s="128"/>
      <c r="C51" s="128"/>
      <c r="D51" s="128"/>
      <c r="E51" s="128"/>
      <c r="F51" s="128"/>
      <c r="G51" s="128"/>
      <c r="H51" s="128"/>
      <c r="I51" s="128"/>
      <c r="J51" s="128"/>
      <c r="K51" s="156"/>
    </row>
    <row r="52" spans="1:27" ht="20.25" customHeight="1">
      <c r="A52" s="352" t="s">
        <v>1078</v>
      </c>
      <c r="B52" s="353"/>
      <c r="C52" s="353"/>
      <c r="D52" s="353"/>
      <c r="E52" s="353"/>
      <c r="F52" s="353"/>
      <c r="G52" s="353"/>
      <c r="H52" s="353"/>
      <c r="I52" s="353"/>
      <c r="J52" s="353"/>
      <c r="K52" s="353"/>
    </row>
    <row r="53" spans="1:27" ht="31.2">
      <c r="A53" s="131" t="s">
        <v>1016</v>
      </c>
      <c r="B53" s="131" t="s">
        <v>1017</v>
      </c>
      <c r="C53" s="354" t="s">
        <v>1018</v>
      </c>
      <c r="D53" s="248"/>
      <c r="E53" s="248"/>
      <c r="F53" s="354" t="s">
        <v>1019</v>
      </c>
      <c r="G53" s="335"/>
      <c r="H53" s="355" t="s">
        <v>1020</v>
      </c>
      <c r="I53" s="356"/>
      <c r="J53" s="356"/>
      <c r="K53" s="131" t="s">
        <v>1021</v>
      </c>
    </row>
    <row r="54" spans="1:27" ht="106.5" customHeight="1">
      <c r="A54" s="130" t="s">
        <v>1022</v>
      </c>
      <c r="B54" s="159" t="s">
        <v>1023</v>
      </c>
      <c r="C54" s="337" t="s">
        <v>1024</v>
      </c>
      <c r="D54" s="248"/>
      <c r="E54" s="248"/>
      <c r="F54" s="336" t="s">
        <v>1025</v>
      </c>
      <c r="G54" s="335"/>
      <c r="H54" s="329" t="s">
        <v>1032</v>
      </c>
      <c r="I54" s="338"/>
      <c r="J54" s="338"/>
      <c r="K54" s="69"/>
    </row>
    <row r="55" spans="1:27" ht="120" customHeight="1">
      <c r="A55" s="130" t="s">
        <v>1079</v>
      </c>
      <c r="B55" s="159" t="s">
        <v>1080</v>
      </c>
      <c r="C55" s="331" t="s">
        <v>1081</v>
      </c>
      <c r="D55" s="248"/>
      <c r="E55" s="248"/>
      <c r="F55" s="332" t="s">
        <v>1082</v>
      </c>
      <c r="G55" s="333"/>
      <c r="H55" s="329" t="s">
        <v>1083</v>
      </c>
      <c r="I55" s="350"/>
      <c r="J55" s="350"/>
      <c r="K55" s="69"/>
    </row>
    <row r="56" spans="1:27" ht="53.85" customHeight="1">
      <c r="A56" s="130" t="s">
        <v>1084</v>
      </c>
      <c r="B56" s="159" t="s">
        <v>1085</v>
      </c>
      <c r="C56" s="331" t="s">
        <v>1086</v>
      </c>
      <c r="D56" s="248"/>
      <c r="E56" s="248"/>
      <c r="F56" s="332" t="s">
        <v>1087</v>
      </c>
      <c r="G56" s="333"/>
      <c r="H56" s="329" t="s">
        <v>1088</v>
      </c>
      <c r="I56" s="350"/>
      <c r="J56" s="350"/>
      <c r="K56" s="69"/>
    </row>
    <row r="57" spans="1:27" ht="65.099999999999994" customHeight="1">
      <c r="A57" s="130" t="s">
        <v>1089</v>
      </c>
      <c r="B57" s="159" t="s">
        <v>1090</v>
      </c>
      <c r="C57" s="331" t="s">
        <v>1091</v>
      </c>
      <c r="D57" s="248"/>
      <c r="E57" s="248"/>
      <c r="F57" s="332" t="s">
        <v>1092</v>
      </c>
      <c r="G57" s="333"/>
      <c r="H57" s="329" t="s">
        <v>1093</v>
      </c>
      <c r="I57" s="350"/>
      <c r="J57" s="350"/>
      <c r="K57" s="69"/>
    </row>
    <row r="58" spans="1:27" ht="53.85" customHeight="1">
      <c r="A58" s="130" t="s">
        <v>1094</v>
      </c>
      <c r="B58" s="159" t="s">
        <v>1095</v>
      </c>
      <c r="C58" s="331" t="s">
        <v>1096</v>
      </c>
      <c r="D58" s="248"/>
      <c r="E58" s="248"/>
      <c r="F58" s="332" t="s">
        <v>1097</v>
      </c>
      <c r="G58" s="333"/>
      <c r="H58" s="329" t="s">
        <v>1098</v>
      </c>
      <c r="I58" s="350"/>
      <c r="J58" s="350"/>
      <c r="K58" s="69"/>
    </row>
    <row r="59" spans="1:27" ht="70.05" customHeight="1">
      <c r="A59" s="130" t="s">
        <v>1099</v>
      </c>
      <c r="B59" s="159" t="s">
        <v>1100</v>
      </c>
      <c r="C59" s="331" t="s">
        <v>1101</v>
      </c>
      <c r="D59" s="248"/>
      <c r="E59" s="248"/>
      <c r="F59" s="332" t="s">
        <v>1102</v>
      </c>
      <c r="G59" s="333"/>
      <c r="H59" s="329" t="s">
        <v>1103</v>
      </c>
      <c r="I59" s="350"/>
      <c r="J59" s="350"/>
      <c r="K59" s="69"/>
    </row>
    <row r="60" spans="1:27" ht="95.1" customHeight="1">
      <c r="A60" s="130" t="s">
        <v>1104</v>
      </c>
      <c r="B60" s="159" t="s">
        <v>1105</v>
      </c>
      <c r="C60" s="331" t="s">
        <v>1106</v>
      </c>
      <c r="D60" s="248"/>
      <c r="E60" s="248"/>
      <c r="F60" s="332" t="s">
        <v>1107</v>
      </c>
      <c r="G60" s="333"/>
      <c r="H60" s="329" t="s">
        <v>1108</v>
      </c>
      <c r="I60" s="350"/>
      <c r="J60" s="350"/>
      <c r="K60" s="69"/>
    </row>
    <row r="61" spans="1:27" ht="79.349999999999994" customHeight="1">
      <c r="A61" s="130" t="s">
        <v>1109</v>
      </c>
      <c r="B61" s="159" t="s">
        <v>1110</v>
      </c>
      <c r="C61" s="331" t="s">
        <v>1111</v>
      </c>
      <c r="D61" s="248"/>
      <c r="E61" s="248"/>
      <c r="F61" s="332" t="s">
        <v>1112</v>
      </c>
      <c r="G61" s="333"/>
      <c r="H61" s="329" t="s">
        <v>1103</v>
      </c>
      <c r="I61" s="350"/>
      <c r="J61" s="350"/>
      <c r="K61" s="69"/>
    </row>
    <row r="62" spans="1:27" ht="87.6" customHeight="1">
      <c r="A62" s="130" t="s">
        <v>1113</v>
      </c>
      <c r="B62" s="159" t="s">
        <v>1114</v>
      </c>
      <c r="C62" s="331" t="s">
        <v>1115</v>
      </c>
      <c r="D62" s="248"/>
      <c r="E62" s="248"/>
      <c r="F62" s="332" t="s">
        <v>1116</v>
      </c>
      <c r="G62" s="333"/>
      <c r="H62" s="329" t="s">
        <v>1117</v>
      </c>
      <c r="I62" s="350"/>
      <c r="J62" s="350"/>
      <c r="K62" s="69"/>
    </row>
    <row r="63" spans="1:27" ht="59.55" customHeight="1">
      <c r="A63" s="130" t="s">
        <v>1118</v>
      </c>
      <c r="B63" s="159" t="s">
        <v>1119</v>
      </c>
      <c r="C63" s="331" t="s">
        <v>1120</v>
      </c>
      <c r="D63" s="248"/>
      <c r="E63" s="248"/>
      <c r="F63" s="332" t="s">
        <v>1121</v>
      </c>
      <c r="G63" s="333"/>
      <c r="H63" s="329" t="s">
        <v>1122</v>
      </c>
      <c r="I63" s="330"/>
      <c r="J63" s="330"/>
      <c r="K63" s="69"/>
    </row>
    <row r="64" spans="1:27" ht="7.35" customHeight="1">
      <c r="A64" s="129"/>
      <c r="B64" s="128"/>
      <c r="C64" s="128"/>
      <c r="D64" s="128"/>
      <c r="E64" s="128"/>
      <c r="F64" s="128"/>
      <c r="G64" s="128"/>
      <c r="H64" s="128"/>
      <c r="I64" s="128"/>
      <c r="J64" s="128"/>
      <c r="K64" s="156"/>
    </row>
    <row r="65" spans="1:11" ht="20.25" customHeight="1">
      <c r="A65" s="352" t="s">
        <v>1123</v>
      </c>
      <c r="B65" s="353"/>
      <c r="C65" s="353"/>
      <c r="D65" s="353"/>
      <c r="E65" s="353"/>
      <c r="F65" s="353"/>
      <c r="G65" s="353"/>
      <c r="H65" s="353"/>
      <c r="I65" s="353"/>
      <c r="J65" s="353"/>
      <c r="K65" s="353"/>
    </row>
    <row r="66" spans="1:11" ht="31.2">
      <c r="A66" s="131" t="s">
        <v>1016</v>
      </c>
      <c r="B66" s="131" t="s">
        <v>1017</v>
      </c>
      <c r="C66" s="354" t="s">
        <v>1018</v>
      </c>
      <c r="D66" s="361"/>
      <c r="E66" s="361"/>
      <c r="F66" s="354" t="s">
        <v>1019</v>
      </c>
      <c r="G66" s="362"/>
      <c r="H66" s="355" t="s">
        <v>1020</v>
      </c>
      <c r="I66" s="363"/>
      <c r="J66" s="363"/>
      <c r="K66" s="131" t="s">
        <v>1021</v>
      </c>
    </row>
    <row r="67" spans="1:11" ht="106.5" customHeight="1">
      <c r="A67" s="159" t="s">
        <v>1022</v>
      </c>
      <c r="B67" s="159" t="s">
        <v>1023</v>
      </c>
      <c r="C67" s="337" t="s">
        <v>1024</v>
      </c>
      <c r="D67" s="250"/>
      <c r="E67" s="250"/>
      <c r="F67" s="336" t="s">
        <v>1025</v>
      </c>
      <c r="G67" s="341"/>
      <c r="H67" s="329" t="s">
        <v>1124</v>
      </c>
      <c r="I67" s="277"/>
      <c r="J67" s="277"/>
      <c r="K67" s="69"/>
    </row>
    <row r="68" spans="1:11" ht="74.849999999999994" customHeight="1">
      <c r="A68" s="130" t="s">
        <v>100</v>
      </c>
      <c r="B68" s="159" t="s">
        <v>1125</v>
      </c>
      <c r="C68" s="331" t="s">
        <v>1126</v>
      </c>
      <c r="D68" s="250"/>
      <c r="E68" s="250"/>
      <c r="F68" s="336" t="s">
        <v>1127</v>
      </c>
      <c r="G68" s="341"/>
      <c r="H68" s="329" t="s">
        <v>1128</v>
      </c>
      <c r="I68" s="329"/>
      <c r="J68" s="329"/>
      <c r="K68" s="69"/>
    </row>
    <row r="69" spans="1:11" ht="74.849999999999994" customHeight="1">
      <c r="A69" s="130" t="s">
        <v>107</v>
      </c>
      <c r="B69" s="159" t="s">
        <v>1129</v>
      </c>
      <c r="C69" s="331" t="s">
        <v>1126</v>
      </c>
      <c r="D69" s="250"/>
      <c r="E69" s="250"/>
      <c r="F69" s="336" t="s">
        <v>1130</v>
      </c>
      <c r="G69" s="341"/>
      <c r="H69" s="329" t="s">
        <v>1131</v>
      </c>
      <c r="I69" s="329"/>
      <c r="J69" s="329"/>
      <c r="K69" s="69"/>
    </row>
    <row r="70" spans="1:11" ht="74.849999999999994" customHeight="1">
      <c r="A70" s="130" t="s">
        <v>116</v>
      </c>
      <c r="B70" s="159" t="s">
        <v>1132</v>
      </c>
      <c r="C70" s="331" t="s">
        <v>1126</v>
      </c>
      <c r="D70" s="250"/>
      <c r="E70" s="250"/>
      <c r="F70" s="336" t="s">
        <v>1133</v>
      </c>
      <c r="G70" s="341"/>
      <c r="H70" s="329" t="s">
        <v>1134</v>
      </c>
      <c r="I70" s="329"/>
      <c r="J70" s="329"/>
      <c r="K70" s="69"/>
    </row>
    <row r="71" spans="1:11" ht="74.849999999999994" customHeight="1">
      <c r="A71" s="130" t="s">
        <v>236</v>
      </c>
      <c r="B71" s="159" t="s">
        <v>1135</v>
      </c>
      <c r="C71" s="331" t="s">
        <v>1126</v>
      </c>
      <c r="D71" s="250"/>
      <c r="E71" s="250"/>
      <c r="F71" s="336" t="s">
        <v>1136</v>
      </c>
      <c r="G71" s="341"/>
      <c r="H71" s="329" t="s">
        <v>1137</v>
      </c>
      <c r="I71" s="329"/>
      <c r="J71" s="329"/>
      <c r="K71" s="69"/>
    </row>
    <row r="72" spans="1:11" ht="74.849999999999994" customHeight="1">
      <c r="A72" s="130" t="s">
        <v>252</v>
      </c>
      <c r="B72" s="159" t="s">
        <v>1138</v>
      </c>
      <c r="C72" s="331" t="s">
        <v>1126</v>
      </c>
      <c r="D72" s="250"/>
      <c r="E72" s="250"/>
      <c r="F72" s="336" t="s">
        <v>1139</v>
      </c>
      <c r="G72" s="341"/>
      <c r="H72" s="329" t="s">
        <v>1140</v>
      </c>
      <c r="I72" s="329"/>
      <c r="J72" s="329"/>
      <c r="K72" s="69"/>
    </row>
    <row r="73" spans="1:11" ht="74.849999999999994" customHeight="1">
      <c r="A73" s="130" t="s">
        <v>268</v>
      </c>
      <c r="B73" s="159" t="s">
        <v>1141</v>
      </c>
      <c r="C73" s="331" t="s">
        <v>1126</v>
      </c>
      <c r="D73" s="250"/>
      <c r="E73" s="250"/>
      <c r="F73" s="336" t="s">
        <v>1142</v>
      </c>
      <c r="G73" s="341"/>
      <c r="H73" s="329" t="s">
        <v>1143</v>
      </c>
      <c r="I73" s="329"/>
      <c r="J73" s="329"/>
      <c r="K73" s="69"/>
    </row>
    <row r="74" spans="1:11" ht="74.849999999999994" customHeight="1">
      <c r="A74" s="130" t="s">
        <v>1144</v>
      </c>
      <c r="B74" s="159" t="s">
        <v>1145</v>
      </c>
      <c r="C74" s="331" t="s">
        <v>1146</v>
      </c>
      <c r="D74" s="250"/>
      <c r="E74" s="250"/>
      <c r="F74" s="332" t="s">
        <v>1147</v>
      </c>
      <c r="G74" s="403"/>
      <c r="H74" s="329" t="s">
        <v>1148</v>
      </c>
      <c r="I74" s="329"/>
      <c r="J74" s="329"/>
      <c r="K74" s="69"/>
    </row>
    <row r="75" spans="1:11" ht="74.849999999999994" customHeight="1">
      <c r="A75" s="130" t="s">
        <v>1149</v>
      </c>
      <c r="B75" s="159" t="s">
        <v>1150</v>
      </c>
      <c r="C75" s="331" t="s">
        <v>1151</v>
      </c>
      <c r="D75" s="250"/>
      <c r="E75" s="250"/>
      <c r="F75" s="332" t="s">
        <v>1152</v>
      </c>
      <c r="G75" s="403"/>
      <c r="H75" s="329" t="s">
        <v>1153</v>
      </c>
      <c r="I75" s="329"/>
      <c r="J75" s="329"/>
      <c r="K75" s="69"/>
    </row>
    <row r="76" spans="1:11" ht="7.35" customHeight="1">
      <c r="A76" s="129"/>
      <c r="B76" s="128"/>
      <c r="C76" s="128"/>
      <c r="D76" s="128"/>
      <c r="E76" s="128"/>
      <c r="F76" s="128"/>
      <c r="G76" s="128"/>
      <c r="H76" s="128"/>
      <c r="I76" s="128"/>
      <c r="J76" s="128"/>
      <c r="K76" s="156"/>
    </row>
    <row r="77" spans="1:11" ht="20.25" customHeight="1">
      <c r="A77" s="352" t="s">
        <v>1154</v>
      </c>
      <c r="B77" s="353"/>
      <c r="C77" s="353"/>
      <c r="D77" s="353"/>
      <c r="E77" s="353"/>
      <c r="F77" s="353"/>
      <c r="G77" s="353"/>
      <c r="H77" s="353"/>
      <c r="I77" s="353"/>
      <c r="J77" s="353"/>
      <c r="K77" s="353"/>
    </row>
    <row r="78" spans="1:11" ht="31.2">
      <c r="A78" s="131" t="s">
        <v>1016</v>
      </c>
      <c r="B78" s="131" t="s">
        <v>1017</v>
      </c>
      <c r="C78" s="354" t="s">
        <v>1018</v>
      </c>
      <c r="D78" s="248"/>
      <c r="E78" s="248"/>
      <c r="F78" s="354" t="s">
        <v>1019</v>
      </c>
      <c r="G78" s="335"/>
      <c r="H78" s="355" t="s">
        <v>1020</v>
      </c>
      <c r="I78" s="356"/>
      <c r="J78" s="356"/>
      <c r="K78" s="131" t="s">
        <v>1021</v>
      </c>
    </row>
    <row r="79" spans="1:11" ht="106.5" customHeight="1">
      <c r="A79" s="159" t="s">
        <v>1155</v>
      </c>
      <c r="B79" s="159" t="s">
        <v>1023</v>
      </c>
      <c r="C79" s="337" t="s">
        <v>1024</v>
      </c>
      <c r="D79" s="248"/>
      <c r="E79" s="248"/>
      <c r="F79" s="336" t="s">
        <v>1025</v>
      </c>
      <c r="G79" s="335"/>
      <c r="H79" s="329" t="s">
        <v>1156</v>
      </c>
      <c r="I79" s="338"/>
      <c r="J79" s="338"/>
      <c r="K79" s="69"/>
    </row>
    <row r="80" spans="1:11" ht="50.55" customHeight="1">
      <c r="A80" s="159" t="s">
        <v>1157</v>
      </c>
      <c r="B80" s="159" t="s">
        <v>1055</v>
      </c>
      <c r="C80" s="337" t="s">
        <v>1158</v>
      </c>
      <c r="D80" s="248"/>
      <c r="E80" s="248"/>
      <c r="F80" s="336" t="s">
        <v>1025</v>
      </c>
      <c r="G80" s="335"/>
      <c r="H80" s="329" t="s">
        <v>1159</v>
      </c>
      <c r="I80" s="338"/>
      <c r="J80" s="338"/>
      <c r="K80" s="69"/>
    </row>
    <row r="81" spans="1:11" ht="53.85" customHeight="1">
      <c r="A81" s="130" t="s">
        <v>176</v>
      </c>
      <c r="B81" s="159" t="s">
        <v>1160</v>
      </c>
      <c r="C81" s="331" t="s">
        <v>1161</v>
      </c>
      <c r="D81" s="248"/>
      <c r="E81" s="248"/>
      <c r="F81" s="336" t="s">
        <v>1130</v>
      </c>
      <c r="G81" s="335"/>
      <c r="H81" s="329" t="s">
        <v>1162</v>
      </c>
      <c r="I81" s="350"/>
      <c r="J81" s="350"/>
      <c r="K81" s="69"/>
    </row>
    <row r="82" spans="1:11" ht="44.1" customHeight="1">
      <c r="A82" s="130" t="s">
        <v>1163</v>
      </c>
      <c r="B82" s="159" t="s">
        <v>1164</v>
      </c>
      <c r="C82" s="331" t="s">
        <v>1165</v>
      </c>
      <c r="D82" s="248"/>
      <c r="E82" s="248"/>
      <c r="F82" s="336" t="s">
        <v>1166</v>
      </c>
      <c r="G82" s="335"/>
      <c r="H82" s="329" t="s">
        <v>1167</v>
      </c>
      <c r="I82" s="350"/>
      <c r="J82" s="350"/>
      <c r="K82" s="69"/>
    </row>
    <row r="83" spans="1:11" ht="57.75" customHeight="1">
      <c r="A83" s="130" t="s">
        <v>1168</v>
      </c>
      <c r="B83" s="159" t="s">
        <v>1169</v>
      </c>
      <c r="C83" s="331" t="s">
        <v>1170</v>
      </c>
      <c r="D83" s="248"/>
      <c r="E83" s="248"/>
      <c r="F83" s="336" t="s">
        <v>1171</v>
      </c>
      <c r="G83" s="335"/>
      <c r="H83" s="329" t="s">
        <v>1172</v>
      </c>
      <c r="I83" s="330"/>
      <c r="J83" s="330"/>
      <c r="K83" s="69"/>
    </row>
    <row r="84" spans="1:11" ht="57.75" customHeight="1">
      <c r="A84" s="130" t="s">
        <v>1173</v>
      </c>
      <c r="B84" s="159" t="s">
        <v>1169</v>
      </c>
      <c r="C84" s="331" t="s">
        <v>1170</v>
      </c>
      <c r="D84" s="248"/>
      <c r="E84" s="248"/>
      <c r="F84" s="336" t="s">
        <v>1174</v>
      </c>
      <c r="G84" s="335"/>
      <c r="H84" s="329" t="s">
        <v>1175</v>
      </c>
      <c r="I84" s="330"/>
      <c r="J84" s="330"/>
      <c r="K84" s="69"/>
    </row>
    <row r="85" spans="1:11" ht="57.75" customHeight="1">
      <c r="A85" s="130" t="s">
        <v>1176</v>
      </c>
      <c r="B85" s="159" t="s">
        <v>1169</v>
      </c>
      <c r="C85" s="331" t="s">
        <v>1170</v>
      </c>
      <c r="D85" s="248"/>
      <c r="E85" s="248"/>
      <c r="F85" s="336" t="s">
        <v>1177</v>
      </c>
      <c r="G85" s="335"/>
      <c r="H85" s="329" t="s">
        <v>1172</v>
      </c>
      <c r="I85" s="330"/>
      <c r="J85" s="330"/>
      <c r="K85" s="69"/>
    </row>
    <row r="86" spans="1:11" ht="57.75" customHeight="1">
      <c r="A86" s="130" t="s">
        <v>1178</v>
      </c>
      <c r="B86" s="159" t="s">
        <v>1169</v>
      </c>
      <c r="C86" s="331" t="s">
        <v>1170</v>
      </c>
      <c r="D86" s="248"/>
      <c r="E86" s="248"/>
      <c r="F86" s="336" t="s">
        <v>1179</v>
      </c>
      <c r="G86" s="335"/>
      <c r="H86" s="329" t="s">
        <v>1172</v>
      </c>
      <c r="I86" s="330"/>
      <c r="J86" s="330"/>
      <c r="K86" s="69"/>
    </row>
    <row r="87" spans="1:11" ht="57.75" customHeight="1">
      <c r="A87" s="130" t="s">
        <v>1180</v>
      </c>
      <c r="B87" s="159" t="s">
        <v>1169</v>
      </c>
      <c r="C87" s="331" t="s">
        <v>1170</v>
      </c>
      <c r="D87" s="248"/>
      <c r="E87" s="248"/>
      <c r="F87" s="336" t="s">
        <v>1181</v>
      </c>
      <c r="G87" s="335"/>
      <c r="H87" s="329" t="s">
        <v>1182</v>
      </c>
      <c r="I87" s="330"/>
      <c r="J87" s="330"/>
      <c r="K87" s="69"/>
    </row>
    <row r="88" spans="1:11" ht="57.75" customHeight="1">
      <c r="A88" s="130" t="s">
        <v>1183</v>
      </c>
      <c r="B88" s="159" t="s">
        <v>1169</v>
      </c>
      <c r="C88" s="331" t="s">
        <v>1170</v>
      </c>
      <c r="D88" s="248"/>
      <c r="E88" s="248"/>
      <c r="F88" s="336" t="s">
        <v>1184</v>
      </c>
      <c r="G88" s="335"/>
      <c r="H88" s="329" t="s">
        <v>1185</v>
      </c>
      <c r="I88" s="330"/>
      <c r="J88" s="330"/>
      <c r="K88" s="69"/>
    </row>
    <row r="89" spans="1:11" ht="57.75" customHeight="1">
      <c r="A89" s="130" t="s">
        <v>1186</v>
      </c>
      <c r="B89" s="159" t="s">
        <v>1169</v>
      </c>
      <c r="C89" s="331" t="s">
        <v>1170</v>
      </c>
      <c r="D89" s="248"/>
      <c r="E89" s="248"/>
      <c r="F89" s="336" t="s">
        <v>1187</v>
      </c>
      <c r="G89" s="335"/>
      <c r="H89" s="329" t="s">
        <v>1172</v>
      </c>
      <c r="I89" s="330"/>
      <c r="J89" s="330"/>
      <c r="K89" s="69"/>
    </row>
    <row r="90" spans="1:11" ht="44.1" customHeight="1">
      <c r="A90" s="130" t="s">
        <v>1188</v>
      </c>
      <c r="B90" s="159" t="s">
        <v>1164</v>
      </c>
      <c r="C90" s="331" t="s">
        <v>1165</v>
      </c>
      <c r="D90" s="248"/>
      <c r="E90" s="248"/>
      <c r="F90" s="336" t="s">
        <v>1189</v>
      </c>
      <c r="G90" s="335"/>
      <c r="H90" s="329" t="s">
        <v>1190</v>
      </c>
      <c r="I90" s="350"/>
      <c r="J90" s="350"/>
      <c r="K90" s="69"/>
    </row>
    <row r="91" spans="1:11" ht="57.75" customHeight="1">
      <c r="A91" s="130" t="s">
        <v>1191</v>
      </c>
      <c r="B91" s="159" t="s">
        <v>1169</v>
      </c>
      <c r="C91" s="331" t="s">
        <v>1192</v>
      </c>
      <c r="D91" s="248"/>
      <c r="E91" s="248"/>
      <c r="F91" s="336" t="s">
        <v>1193</v>
      </c>
      <c r="G91" s="335"/>
      <c r="H91" s="329" t="s">
        <v>1194</v>
      </c>
      <c r="I91" s="330"/>
      <c r="J91" s="330"/>
      <c r="K91" s="69"/>
    </row>
    <row r="92" spans="1:11" ht="57.75" customHeight="1">
      <c r="A92" s="130" t="s">
        <v>1195</v>
      </c>
      <c r="B92" s="159" t="s">
        <v>1169</v>
      </c>
      <c r="C92" s="331" t="s">
        <v>1192</v>
      </c>
      <c r="D92" s="248"/>
      <c r="E92" s="248"/>
      <c r="F92" s="336" t="s">
        <v>1196</v>
      </c>
      <c r="G92" s="335"/>
      <c r="H92" s="329" t="s">
        <v>1197</v>
      </c>
      <c r="I92" s="330"/>
      <c r="J92" s="330"/>
      <c r="K92" s="69"/>
    </row>
    <row r="93" spans="1:11" ht="57.75" customHeight="1">
      <c r="A93" s="130" t="s">
        <v>1198</v>
      </c>
      <c r="B93" s="159" t="s">
        <v>1169</v>
      </c>
      <c r="C93" s="331" t="s">
        <v>1192</v>
      </c>
      <c r="D93" s="248"/>
      <c r="E93" s="248"/>
      <c r="F93" s="336" t="s">
        <v>1199</v>
      </c>
      <c r="G93" s="335"/>
      <c r="H93" s="329" t="s">
        <v>1194</v>
      </c>
      <c r="I93" s="330"/>
      <c r="J93" s="330"/>
      <c r="K93" s="69"/>
    </row>
    <row r="94" spans="1:11" ht="29.1" customHeight="1">
      <c r="A94" s="130" t="s">
        <v>1200</v>
      </c>
      <c r="B94" s="159" t="s">
        <v>1201</v>
      </c>
      <c r="C94" s="331" t="s">
        <v>1202</v>
      </c>
      <c r="D94" s="248"/>
      <c r="E94" s="248"/>
      <c r="F94" s="336" t="s">
        <v>1203</v>
      </c>
      <c r="G94" s="335"/>
      <c r="H94" s="329" t="s">
        <v>1204</v>
      </c>
      <c r="I94" s="330"/>
      <c r="J94" s="330"/>
      <c r="K94" s="69"/>
    </row>
    <row r="95" spans="1:11" ht="29.1" customHeight="1">
      <c r="A95" s="130" t="s">
        <v>1205</v>
      </c>
      <c r="B95" s="159" t="s">
        <v>1201</v>
      </c>
      <c r="C95" s="331" t="s">
        <v>1202</v>
      </c>
      <c r="D95" s="248"/>
      <c r="E95" s="248"/>
      <c r="F95" s="336" t="s">
        <v>1206</v>
      </c>
      <c r="G95" s="335"/>
      <c r="H95" s="329" t="s">
        <v>1207</v>
      </c>
      <c r="I95" s="330"/>
      <c r="J95" s="330"/>
      <c r="K95" s="69"/>
    </row>
    <row r="96" spans="1:11" ht="44.1" customHeight="1">
      <c r="A96" s="130" t="s">
        <v>1208</v>
      </c>
      <c r="B96" s="159" t="s">
        <v>1164</v>
      </c>
      <c r="C96" s="331" t="s">
        <v>1165</v>
      </c>
      <c r="D96" s="248"/>
      <c r="E96" s="248"/>
      <c r="F96" s="336" t="s">
        <v>1189</v>
      </c>
      <c r="G96" s="335"/>
      <c r="H96" s="329" t="s">
        <v>1209</v>
      </c>
      <c r="I96" s="350"/>
      <c r="J96" s="350"/>
      <c r="K96" s="69"/>
    </row>
    <row r="97" spans="1:11" ht="57.75" customHeight="1">
      <c r="A97" s="130" t="s">
        <v>1210</v>
      </c>
      <c r="B97" s="159" t="s">
        <v>1169</v>
      </c>
      <c r="C97" s="331" t="s">
        <v>1192</v>
      </c>
      <c r="D97" s="248"/>
      <c r="E97" s="248"/>
      <c r="F97" s="336" t="s">
        <v>1211</v>
      </c>
      <c r="G97" s="335"/>
      <c r="H97" s="329" t="s">
        <v>1197</v>
      </c>
      <c r="I97" s="330"/>
      <c r="J97" s="330"/>
      <c r="K97" s="69"/>
    </row>
    <row r="98" spans="1:11" ht="57.75" customHeight="1">
      <c r="A98" s="130" t="s">
        <v>1212</v>
      </c>
      <c r="B98" s="159" t="s">
        <v>1169</v>
      </c>
      <c r="C98" s="331" t="s">
        <v>1192</v>
      </c>
      <c r="D98" s="248"/>
      <c r="E98" s="248"/>
      <c r="F98" s="336" t="s">
        <v>1213</v>
      </c>
      <c r="G98" s="335"/>
      <c r="H98" s="329" t="s">
        <v>1197</v>
      </c>
      <c r="I98" s="330"/>
      <c r="J98" s="330"/>
      <c r="K98" s="69"/>
    </row>
    <row r="99" spans="1:11" ht="29.1" customHeight="1">
      <c r="A99" s="130" t="s">
        <v>1214</v>
      </c>
      <c r="B99" s="159" t="s">
        <v>1201</v>
      </c>
      <c r="C99" s="331" t="s">
        <v>1202</v>
      </c>
      <c r="D99" s="248"/>
      <c r="E99" s="248"/>
      <c r="F99" s="336" t="s">
        <v>1215</v>
      </c>
      <c r="G99" s="335"/>
      <c r="H99" s="329" t="s">
        <v>1204</v>
      </c>
      <c r="I99" s="330"/>
      <c r="J99" s="330"/>
      <c r="K99" s="69"/>
    </row>
    <row r="100" spans="1:11" ht="29.1" customHeight="1">
      <c r="A100" s="130" t="s">
        <v>1216</v>
      </c>
      <c r="B100" s="159" t="s">
        <v>1201</v>
      </c>
      <c r="C100" s="331" t="s">
        <v>1202</v>
      </c>
      <c r="D100" s="248"/>
      <c r="E100" s="248"/>
      <c r="F100" s="336" t="s">
        <v>1217</v>
      </c>
      <c r="G100" s="335"/>
      <c r="H100" s="329" t="s">
        <v>1207</v>
      </c>
      <c r="I100" s="330"/>
      <c r="J100" s="330"/>
      <c r="K100" s="69"/>
    </row>
    <row r="101" spans="1:11" ht="7.35" customHeight="1">
      <c r="A101" s="129"/>
      <c r="B101" s="128"/>
      <c r="C101" s="128"/>
      <c r="D101" s="128"/>
      <c r="E101" s="128"/>
      <c r="F101" s="128"/>
      <c r="G101" s="128"/>
      <c r="H101" s="128"/>
      <c r="I101" s="128"/>
      <c r="J101" s="128"/>
      <c r="K101" s="156"/>
    </row>
    <row r="102" spans="1:11" ht="20.25" customHeight="1">
      <c r="A102" s="352" t="s">
        <v>1218</v>
      </c>
      <c r="B102" s="353"/>
      <c r="C102" s="353"/>
      <c r="D102" s="353"/>
      <c r="E102" s="353"/>
      <c r="F102" s="353"/>
      <c r="G102" s="353"/>
      <c r="H102" s="353"/>
      <c r="I102" s="353"/>
      <c r="J102" s="353"/>
      <c r="K102" s="353"/>
    </row>
    <row r="103" spans="1:11" ht="31.2">
      <c r="A103" s="131" t="s">
        <v>1016</v>
      </c>
      <c r="B103" s="131" t="s">
        <v>1017</v>
      </c>
      <c r="C103" s="354" t="s">
        <v>1018</v>
      </c>
      <c r="D103" s="248"/>
      <c r="E103" s="248"/>
      <c r="F103" s="354" t="s">
        <v>1019</v>
      </c>
      <c r="G103" s="335"/>
      <c r="H103" s="355" t="s">
        <v>1020</v>
      </c>
      <c r="I103" s="356"/>
      <c r="J103" s="356"/>
      <c r="K103" s="131" t="s">
        <v>1021</v>
      </c>
    </row>
    <row r="104" spans="1:11" ht="93" customHeight="1">
      <c r="A104" s="159" t="s">
        <v>1219</v>
      </c>
      <c r="B104" s="159" t="s">
        <v>1023</v>
      </c>
      <c r="C104" s="337" t="s">
        <v>1024</v>
      </c>
      <c r="D104" s="248"/>
      <c r="E104" s="248"/>
      <c r="F104" s="336" t="s">
        <v>1025</v>
      </c>
      <c r="G104" s="335"/>
      <c r="H104" s="329" t="s">
        <v>1220</v>
      </c>
      <c r="I104" s="338"/>
      <c r="J104" s="338"/>
      <c r="K104" s="69"/>
    </row>
    <row r="105" spans="1:11" ht="50.55" customHeight="1">
      <c r="A105" s="159" t="s">
        <v>1157</v>
      </c>
      <c r="B105" s="159" t="s">
        <v>1055</v>
      </c>
      <c r="C105" s="337" t="s">
        <v>1158</v>
      </c>
      <c r="D105" s="248"/>
      <c r="E105" s="248"/>
      <c r="F105" s="336" t="s">
        <v>1025</v>
      </c>
      <c r="G105" s="335"/>
      <c r="H105" s="329" t="s">
        <v>1221</v>
      </c>
      <c r="I105" s="338"/>
      <c r="J105" s="338"/>
      <c r="K105" s="69"/>
    </row>
    <row r="106" spans="1:11" ht="111" customHeight="1">
      <c r="A106" s="159" t="s">
        <v>1222</v>
      </c>
      <c r="B106" s="159" t="s">
        <v>1055</v>
      </c>
      <c r="C106" s="342" t="s">
        <v>1223</v>
      </c>
      <c r="D106" s="343"/>
      <c r="E106" s="344"/>
      <c r="F106" s="345" t="s">
        <v>1025</v>
      </c>
      <c r="G106" s="346"/>
      <c r="H106" s="358" t="s">
        <v>1224</v>
      </c>
      <c r="I106" s="359"/>
      <c r="J106" s="360"/>
      <c r="K106" s="69"/>
    </row>
    <row r="107" spans="1:11" ht="47.1" customHeight="1">
      <c r="A107" s="130" t="s">
        <v>176</v>
      </c>
      <c r="B107" s="159" t="s">
        <v>1160</v>
      </c>
      <c r="C107" s="331" t="s">
        <v>1161</v>
      </c>
      <c r="D107" s="248"/>
      <c r="E107" s="248"/>
      <c r="F107" s="336" t="s">
        <v>1130</v>
      </c>
      <c r="G107" s="335"/>
      <c r="H107" s="329" t="s">
        <v>1162</v>
      </c>
      <c r="I107" s="350"/>
      <c r="J107" s="350"/>
      <c r="K107" s="69"/>
    </row>
    <row r="108" spans="1:11" ht="94.35" customHeight="1">
      <c r="A108" s="130" t="s">
        <v>1225</v>
      </c>
      <c r="B108" s="159" t="s">
        <v>1226</v>
      </c>
      <c r="C108" s="331" t="s">
        <v>1227</v>
      </c>
      <c r="D108" s="248"/>
      <c r="E108" s="248"/>
      <c r="F108" s="334" t="s">
        <v>1228</v>
      </c>
      <c r="G108" s="335"/>
      <c r="H108" s="329" t="s">
        <v>1229</v>
      </c>
      <c r="I108" s="329"/>
      <c r="J108" s="329"/>
      <c r="K108" s="69"/>
    </row>
    <row r="109" spans="1:11" ht="129" customHeight="1">
      <c r="A109" s="130" t="s">
        <v>1230</v>
      </c>
      <c r="B109" s="159" t="s">
        <v>1231</v>
      </c>
      <c r="C109" s="331" t="s">
        <v>1232</v>
      </c>
      <c r="D109" s="248"/>
      <c r="E109" s="248"/>
      <c r="F109" s="332" t="s">
        <v>1233</v>
      </c>
      <c r="G109" s="333"/>
      <c r="H109" s="329" t="s">
        <v>1234</v>
      </c>
      <c r="I109" s="329"/>
      <c r="J109" s="329"/>
      <c r="K109" s="69"/>
    </row>
    <row r="110" spans="1:11" ht="47.1" customHeight="1">
      <c r="A110" s="130" t="s">
        <v>1235</v>
      </c>
      <c r="B110" s="159" t="s">
        <v>1236</v>
      </c>
      <c r="C110" s="331" t="s">
        <v>1237</v>
      </c>
      <c r="D110" s="248"/>
      <c r="E110" s="248"/>
      <c r="F110" s="334" t="s">
        <v>1238</v>
      </c>
      <c r="G110" s="335"/>
      <c r="H110" s="329" t="s">
        <v>1239</v>
      </c>
      <c r="I110" s="329"/>
      <c r="J110" s="329"/>
      <c r="K110" s="69"/>
    </row>
    <row r="111" spans="1:11" ht="47.1" customHeight="1">
      <c r="A111" s="130" t="s">
        <v>1240</v>
      </c>
      <c r="B111" s="159" t="s">
        <v>1241</v>
      </c>
      <c r="C111" s="331" t="s">
        <v>1242</v>
      </c>
      <c r="D111" s="248"/>
      <c r="E111" s="248"/>
      <c r="F111" s="334" t="s">
        <v>1243</v>
      </c>
      <c r="G111" s="335"/>
      <c r="H111" s="329" t="s">
        <v>1244</v>
      </c>
      <c r="I111" s="329"/>
      <c r="J111" s="329"/>
      <c r="K111" s="69"/>
    </row>
    <row r="112" spans="1:11" ht="47.1" customHeight="1">
      <c r="A112" s="130" t="s">
        <v>1245</v>
      </c>
      <c r="B112" s="159" t="s">
        <v>1246</v>
      </c>
      <c r="C112" s="331" t="s">
        <v>1247</v>
      </c>
      <c r="D112" s="248"/>
      <c r="E112" s="248"/>
      <c r="F112" s="334" t="s">
        <v>1248</v>
      </c>
      <c r="G112" s="335"/>
      <c r="H112" s="329" t="s">
        <v>1249</v>
      </c>
      <c r="I112" s="329"/>
      <c r="J112" s="329"/>
      <c r="K112" s="69"/>
    </row>
    <row r="113" spans="1:11" ht="59.55" customHeight="1">
      <c r="A113" s="130" t="s">
        <v>1250</v>
      </c>
      <c r="B113" s="159" t="s">
        <v>1164</v>
      </c>
      <c r="C113" s="331" t="s">
        <v>1251</v>
      </c>
      <c r="D113" s="248"/>
      <c r="E113" s="248"/>
      <c r="F113" s="334" t="s">
        <v>1252</v>
      </c>
      <c r="G113" s="335"/>
      <c r="H113" s="329" t="s">
        <v>1253</v>
      </c>
      <c r="I113" s="350"/>
      <c r="J113" s="350"/>
      <c r="K113" s="69"/>
    </row>
    <row r="114" spans="1:11" ht="83.55" customHeight="1">
      <c r="A114" s="130" t="s">
        <v>1254</v>
      </c>
      <c r="B114" s="159" t="s">
        <v>1169</v>
      </c>
      <c r="C114" s="331" t="s">
        <v>1255</v>
      </c>
      <c r="D114" s="248"/>
      <c r="E114" s="248"/>
      <c r="F114" s="334" t="s">
        <v>1256</v>
      </c>
      <c r="G114" s="335"/>
      <c r="H114" s="329" t="s">
        <v>1257</v>
      </c>
      <c r="I114" s="329"/>
      <c r="J114" s="329"/>
      <c r="K114" s="69"/>
    </row>
    <row r="115" spans="1:11" ht="57.75" customHeight="1">
      <c r="A115" s="130" t="s">
        <v>64</v>
      </c>
      <c r="B115" s="159" t="s">
        <v>1169</v>
      </c>
      <c r="C115" s="331" t="s">
        <v>1258</v>
      </c>
      <c r="D115" s="248"/>
      <c r="E115" s="248"/>
      <c r="F115" s="334" t="s">
        <v>1259</v>
      </c>
      <c r="G115" s="335"/>
      <c r="H115" s="329" t="s">
        <v>1260</v>
      </c>
      <c r="I115" s="350"/>
      <c r="J115" s="350"/>
      <c r="K115" s="69"/>
    </row>
    <row r="116" spans="1:11" ht="57.75" customHeight="1">
      <c r="A116" s="130" t="s">
        <v>108</v>
      </c>
      <c r="B116" s="159" t="s">
        <v>1169</v>
      </c>
      <c r="C116" s="331" t="s">
        <v>1261</v>
      </c>
      <c r="D116" s="248"/>
      <c r="E116" s="248"/>
      <c r="F116" s="336" t="s">
        <v>1262</v>
      </c>
      <c r="G116" s="335"/>
      <c r="H116" s="329" t="s">
        <v>1175</v>
      </c>
      <c r="I116" s="350"/>
      <c r="J116" s="350"/>
      <c r="K116" s="69"/>
    </row>
    <row r="117" spans="1:11" ht="57.75" customHeight="1">
      <c r="A117" s="130" t="s">
        <v>153</v>
      </c>
      <c r="B117" s="159" t="s">
        <v>1169</v>
      </c>
      <c r="C117" s="331" t="s">
        <v>1263</v>
      </c>
      <c r="D117" s="248"/>
      <c r="E117" s="248"/>
      <c r="F117" s="334" t="s">
        <v>1264</v>
      </c>
      <c r="G117" s="335"/>
      <c r="H117" s="329" t="s">
        <v>1265</v>
      </c>
      <c r="I117" s="350"/>
      <c r="J117" s="350"/>
      <c r="K117" s="69"/>
    </row>
    <row r="118" spans="1:11" ht="60.6" customHeight="1">
      <c r="A118" s="130" t="s">
        <v>177</v>
      </c>
      <c r="B118" s="159" t="s">
        <v>1164</v>
      </c>
      <c r="C118" s="331" t="s">
        <v>1251</v>
      </c>
      <c r="D118" s="248"/>
      <c r="E118" s="248"/>
      <c r="F118" s="334" t="s">
        <v>1252</v>
      </c>
      <c r="G118" s="335"/>
      <c r="H118" s="329" t="s">
        <v>1266</v>
      </c>
      <c r="I118" s="350"/>
      <c r="J118" s="350"/>
      <c r="K118" s="69"/>
    </row>
    <row r="119" spans="1:11" ht="58.05" customHeight="1">
      <c r="A119" s="130" t="s">
        <v>86</v>
      </c>
      <c r="B119" s="159" t="s">
        <v>1169</v>
      </c>
      <c r="C119" s="331" t="s">
        <v>1267</v>
      </c>
      <c r="D119" s="248"/>
      <c r="E119" s="248"/>
      <c r="F119" s="334" t="s">
        <v>1268</v>
      </c>
      <c r="G119" s="335"/>
      <c r="H119" s="329" t="s">
        <v>1269</v>
      </c>
      <c r="I119" s="330"/>
      <c r="J119" s="330"/>
      <c r="K119" s="69"/>
    </row>
    <row r="120" spans="1:11" ht="58.05" customHeight="1">
      <c r="A120" s="130" t="s">
        <v>92</v>
      </c>
      <c r="B120" s="159" t="s">
        <v>1169</v>
      </c>
      <c r="C120" s="331" t="s">
        <v>1267</v>
      </c>
      <c r="D120" s="248"/>
      <c r="E120" s="248"/>
      <c r="F120" s="334" t="s">
        <v>1270</v>
      </c>
      <c r="G120" s="335"/>
      <c r="H120" s="329" t="s">
        <v>1271</v>
      </c>
      <c r="I120" s="330"/>
      <c r="J120" s="330"/>
      <c r="K120" s="69"/>
    </row>
    <row r="121" spans="1:11" ht="57.75" customHeight="1">
      <c r="A121" s="130" t="s">
        <v>143</v>
      </c>
      <c r="B121" s="159" t="s">
        <v>1169</v>
      </c>
      <c r="C121" s="331" t="s">
        <v>1272</v>
      </c>
      <c r="D121" s="248"/>
      <c r="E121" s="248"/>
      <c r="F121" s="336" t="s">
        <v>1273</v>
      </c>
      <c r="G121" s="335"/>
      <c r="H121" s="329" t="s">
        <v>1274</v>
      </c>
      <c r="I121" s="330"/>
      <c r="J121" s="330"/>
      <c r="K121" s="69"/>
    </row>
    <row r="122" spans="1:11" ht="57.75" customHeight="1">
      <c r="A122" s="130" t="s">
        <v>151</v>
      </c>
      <c r="B122" s="159" t="s">
        <v>1169</v>
      </c>
      <c r="C122" s="331" t="s">
        <v>1272</v>
      </c>
      <c r="D122" s="248"/>
      <c r="E122" s="248"/>
      <c r="F122" s="336" t="s">
        <v>1275</v>
      </c>
      <c r="G122" s="335"/>
      <c r="H122" s="329" t="s">
        <v>1276</v>
      </c>
      <c r="I122" s="330"/>
      <c r="J122" s="330"/>
      <c r="K122" s="69"/>
    </row>
    <row r="123" spans="1:11" ht="29.1" customHeight="1">
      <c r="A123" s="130" t="s">
        <v>1277</v>
      </c>
      <c r="B123" s="159" t="s">
        <v>1201</v>
      </c>
      <c r="C123" s="331" t="s">
        <v>1202</v>
      </c>
      <c r="D123" s="248"/>
      <c r="E123" s="248"/>
      <c r="F123" s="336" t="s">
        <v>1278</v>
      </c>
      <c r="G123" s="335"/>
      <c r="H123" s="329" t="s">
        <v>1239</v>
      </c>
      <c r="I123" s="330"/>
      <c r="J123" s="330"/>
      <c r="K123" s="69"/>
    </row>
    <row r="124" spans="1:11" ht="29.1" customHeight="1">
      <c r="A124" s="130" t="s">
        <v>1279</v>
      </c>
      <c r="B124" s="159" t="s">
        <v>1201</v>
      </c>
      <c r="C124" s="331" t="s">
        <v>1202</v>
      </c>
      <c r="D124" s="248"/>
      <c r="E124" s="248"/>
      <c r="F124" s="336" t="s">
        <v>1280</v>
      </c>
      <c r="G124" s="335"/>
      <c r="H124" s="329" t="s">
        <v>1281</v>
      </c>
      <c r="I124" s="330"/>
      <c r="J124" s="330"/>
      <c r="K124" s="69"/>
    </row>
    <row r="125" spans="1:11" ht="57.75" customHeight="1">
      <c r="A125" s="130" t="s">
        <v>1198</v>
      </c>
      <c r="B125" s="159" t="s">
        <v>1169</v>
      </c>
      <c r="C125" s="331" t="s">
        <v>1282</v>
      </c>
      <c r="D125" s="248"/>
      <c r="E125" s="248"/>
      <c r="F125" s="336" t="s">
        <v>1283</v>
      </c>
      <c r="G125" s="335"/>
      <c r="H125" s="329" t="s">
        <v>1175</v>
      </c>
      <c r="I125" s="330"/>
      <c r="J125" s="330"/>
      <c r="K125" s="69"/>
    </row>
    <row r="126" spans="1:11" ht="57.75" customHeight="1">
      <c r="A126" s="130" t="s">
        <v>1205</v>
      </c>
      <c r="B126" s="159" t="s">
        <v>1169</v>
      </c>
      <c r="C126" s="331" t="s">
        <v>1282</v>
      </c>
      <c r="D126" s="248"/>
      <c r="E126" s="248"/>
      <c r="F126" s="336" t="s">
        <v>1284</v>
      </c>
      <c r="G126" s="335"/>
      <c r="H126" s="329" t="s">
        <v>1285</v>
      </c>
      <c r="I126" s="330"/>
      <c r="J126" s="330"/>
      <c r="K126" s="69"/>
    </row>
    <row r="127" spans="1:11" ht="29.1" customHeight="1">
      <c r="A127" s="130" t="s">
        <v>1286</v>
      </c>
      <c r="B127" s="159" t="s">
        <v>1201</v>
      </c>
      <c r="C127" s="331" t="s">
        <v>1202</v>
      </c>
      <c r="D127" s="248"/>
      <c r="E127" s="248"/>
      <c r="F127" s="336" t="s">
        <v>1287</v>
      </c>
      <c r="G127" s="335"/>
      <c r="H127" s="329" t="s">
        <v>1288</v>
      </c>
      <c r="I127" s="330"/>
      <c r="J127" s="330"/>
      <c r="K127" s="69"/>
    </row>
    <row r="128" spans="1:11" ht="29.1" customHeight="1">
      <c r="A128" s="130" t="s">
        <v>1289</v>
      </c>
      <c r="B128" s="159" t="s">
        <v>1201</v>
      </c>
      <c r="C128" s="331" t="s">
        <v>1202</v>
      </c>
      <c r="D128" s="248"/>
      <c r="E128" s="248"/>
      <c r="F128" s="336" t="s">
        <v>1290</v>
      </c>
      <c r="G128" s="335"/>
      <c r="H128" s="329" t="s">
        <v>1291</v>
      </c>
      <c r="I128" s="330"/>
      <c r="J128" s="330"/>
      <c r="K128" s="69"/>
    </row>
    <row r="129" spans="1:11" ht="63.6" customHeight="1">
      <c r="A129" s="130" t="s">
        <v>1292</v>
      </c>
      <c r="B129" s="159" t="s">
        <v>1293</v>
      </c>
      <c r="C129" s="331" t="s">
        <v>1294</v>
      </c>
      <c r="D129" s="248"/>
      <c r="E129" s="248"/>
      <c r="F129" s="332" t="s">
        <v>1295</v>
      </c>
      <c r="G129" s="333"/>
      <c r="H129" s="329" t="s">
        <v>1296</v>
      </c>
      <c r="I129" s="330"/>
      <c r="J129" s="330"/>
      <c r="K129" s="69"/>
    </row>
    <row r="130" spans="1:11" ht="111.6" customHeight="1">
      <c r="A130" s="130" t="s">
        <v>1297</v>
      </c>
      <c r="B130" s="159" t="s">
        <v>1293</v>
      </c>
      <c r="C130" s="331" t="s">
        <v>1294</v>
      </c>
      <c r="D130" s="248"/>
      <c r="E130" s="248"/>
      <c r="F130" s="332" t="s">
        <v>1298</v>
      </c>
      <c r="G130" s="333"/>
      <c r="H130" s="329" t="s">
        <v>1234</v>
      </c>
      <c r="I130" s="330"/>
      <c r="J130" s="330"/>
      <c r="K130" s="69"/>
    </row>
    <row r="131" spans="1:11" ht="63.6" customHeight="1">
      <c r="A131" s="130" t="s">
        <v>1299</v>
      </c>
      <c r="B131" s="159" t="s">
        <v>1293</v>
      </c>
      <c r="C131" s="331" t="s">
        <v>1294</v>
      </c>
      <c r="D131" s="248"/>
      <c r="E131" s="248"/>
      <c r="F131" s="332" t="s">
        <v>1300</v>
      </c>
      <c r="G131" s="333"/>
      <c r="H131" s="329" t="s">
        <v>1301</v>
      </c>
      <c r="I131" s="330"/>
      <c r="J131" s="330"/>
      <c r="K131" s="69"/>
    </row>
    <row r="132" spans="1:11" ht="63.6" customHeight="1">
      <c r="A132" s="130" t="s">
        <v>1302</v>
      </c>
      <c r="B132" s="159" t="s">
        <v>1293</v>
      </c>
      <c r="C132" s="331" t="s">
        <v>1294</v>
      </c>
      <c r="D132" s="248"/>
      <c r="E132" s="248"/>
      <c r="F132" s="332" t="s">
        <v>1303</v>
      </c>
      <c r="G132" s="333"/>
      <c r="H132" s="329" t="s">
        <v>1304</v>
      </c>
      <c r="I132" s="330"/>
      <c r="J132" s="330"/>
      <c r="K132" s="69"/>
    </row>
    <row r="133" spans="1:11" ht="7.35" customHeight="1">
      <c r="A133" s="129"/>
      <c r="B133" s="128"/>
      <c r="C133" s="128"/>
      <c r="D133" s="128"/>
      <c r="E133" s="128"/>
      <c r="F133" s="128"/>
      <c r="G133" s="128"/>
      <c r="H133" s="128"/>
      <c r="I133" s="128"/>
      <c r="J133" s="128"/>
      <c r="K133" s="156"/>
    </row>
    <row r="134" spans="1:11" ht="20.25" customHeight="1">
      <c r="A134" s="352" t="s">
        <v>1305</v>
      </c>
      <c r="B134" s="353"/>
      <c r="C134" s="353"/>
      <c r="D134" s="353"/>
      <c r="E134" s="353"/>
      <c r="F134" s="353"/>
      <c r="G134" s="353"/>
      <c r="H134" s="353"/>
      <c r="I134" s="353"/>
      <c r="J134" s="353"/>
      <c r="K134" s="353"/>
    </row>
    <row r="135" spans="1:11" ht="31.2">
      <c r="A135" s="131" t="s">
        <v>1016</v>
      </c>
      <c r="B135" s="131" t="s">
        <v>1017</v>
      </c>
      <c r="C135" s="354" t="s">
        <v>1018</v>
      </c>
      <c r="D135" s="335"/>
      <c r="E135" s="335"/>
      <c r="F135" s="354" t="s">
        <v>1019</v>
      </c>
      <c r="G135" s="335"/>
      <c r="H135" s="354" t="s">
        <v>1020</v>
      </c>
      <c r="I135" s="335"/>
      <c r="J135" s="335"/>
      <c r="K135" s="131" t="s">
        <v>1021</v>
      </c>
    </row>
    <row r="136" spans="1:11" ht="92.55" customHeight="1">
      <c r="A136" s="159" t="s">
        <v>1155</v>
      </c>
      <c r="B136" s="159" t="s">
        <v>1023</v>
      </c>
      <c r="C136" s="337" t="s">
        <v>1024</v>
      </c>
      <c r="D136" s="248"/>
      <c r="E136" s="248"/>
      <c r="F136" s="336" t="s">
        <v>1025</v>
      </c>
      <c r="G136" s="335"/>
      <c r="H136" s="329" t="s">
        <v>1306</v>
      </c>
      <c r="I136" s="338"/>
      <c r="J136" s="338"/>
      <c r="K136" s="69"/>
    </row>
    <row r="137" spans="1:11" ht="50.55" customHeight="1">
      <c r="A137" s="159" t="s">
        <v>1157</v>
      </c>
      <c r="B137" s="159" t="s">
        <v>1055</v>
      </c>
      <c r="C137" s="337" t="s">
        <v>1158</v>
      </c>
      <c r="D137" s="248"/>
      <c r="E137" s="248"/>
      <c r="F137" s="336" t="s">
        <v>1025</v>
      </c>
      <c r="G137" s="335"/>
      <c r="H137" s="329" t="s">
        <v>1159</v>
      </c>
      <c r="I137" s="338"/>
      <c r="J137" s="338"/>
      <c r="K137" s="69"/>
    </row>
    <row r="138" spans="1:11" ht="64.5" customHeight="1">
      <c r="A138" s="130" t="s">
        <v>176</v>
      </c>
      <c r="B138" s="159" t="s">
        <v>1160</v>
      </c>
      <c r="C138" s="331" t="s">
        <v>1307</v>
      </c>
      <c r="D138" s="248"/>
      <c r="E138" s="248"/>
      <c r="F138" s="336" t="s">
        <v>1308</v>
      </c>
      <c r="G138" s="335"/>
      <c r="H138" s="329" t="s">
        <v>1162</v>
      </c>
      <c r="I138" s="350"/>
      <c r="J138" s="350"/>
      <c r="K138" s="69"/>
    </row>
    <row r="139" spans="1:11" ht="58.5" customHeight="1">
      <c r="A139" s="130" t="s">
        <v>1163</v>
      </c>
      <c r="B139" s="159" t="s">
        <v>1309</v>
      </c>
      <c r="C139" s="331" t="s">
        <v>1310</v>
      </c>
      <c r="D139" s="248"/>
      <c r="E139" s="248"/>
      <c r="F139" s="334" t="s">
        <v>1311</v>
      </c>
      <c r="G139" s="335"/>
      <c r="H139" s="329" t="s">
        <v>1312</v>
      </c>
      <c r="I139" s="350"/>
      <c r="J139" s="350"/>
      <c r="K139" s="69"/>
    </row>
    <row r="140" spans="1:11" ht="57.75" customHeight="1">
      <c r="A140" s="130" t="s">
        <v>1168</v>
      </c>
      <c r="B140" s="159" t="s">
        <v>1169</v>
      </c>
      <c r="C140" s="331" t="s">
        <v>1170</v>
      </c>
      <c r="D140" s="248"/>
      <c r="E140" s="248"/>
      <c r="F140" s="336" t="s">
        <v>1171</v>
      </c>
      <c r="G140" s="335"/>
      <c r="H140" s="329" t="s">
        <v>1313</v>
      </c>
      <c r="I140" s="330"/>
      <c r="J140" s="330"/>
      <c r="K140" s="69"/>
    </row>
    <row r="141" spans="1:11" ht="57.75" customHeight="1">
      <c r="A141" s="130" t="s">
        <v>1173</v>
      </c>
      <c r="B141" s="159" t="s">
        <v>1169</v>
      </c>
      <c r="C141" s="331" t="s">
        <v>1170</v>
      </c>
      <c r="D141" s="248"/>
      <c r="E141" s="248"/>
      <c r="F141" s="336" t="s">
        <v>1174</v>
      </c>
      <c r="G141" s="335"/>
      <c r="H141" s="329" t="s">
        <v>1314</v>
      </c>
      <c r="I141" s="330"/>
      <c r="J141" s="330"/>
      <c r="K141" s="69"/>
    </row>
    <row r="142" spans="1:11" ht="57.75" customHeight="1">
      <c r="A142" s="130" t="s">
        <v>1176</v>
      </c>
      <c r="B142" s="159" t="s">
        <v>1169</v>
      </c>
      <c r="C142" s="331" t="s">
        <v>1170</v>
      </c>
      <c r="D142" s="248"/>
      <c r="E142" s="248"/>
      <c r="F142" s="339" t="s">
        <v>1315</v>
      </c>
      <c r="G142" s="340"/>
      <c r="H142" s="329" t="s">
        <v>1313</v>
      </c>
      <c r="I142" s="330"/>
      <c r="J142" s="330"/>
      <c r="K142" s="69"/>
    </row>
    <row r="143" spans="1:11" ht="43.5" customHeight="1">
      <c r="A143" s="130" t="s">
        <v>92</v>
      </c>
      <c r="B143" s="159" t="s">
        <v>1316</v>
      </c>
      <c r="C143" s="331" t="s">
        <v>1202</v>
      </c>
      <c r="D143" s="248"/>
      <c r="E143" s="248"/>
      <c r="F143" s="339" t="s">
        <v>1317</v>
      </c>
      <c r="G143" s="340"/>
      <c r="H143" s="329" t="s">
        <v>1318</v>
      </c>
      <c r="I143" s="330"/>
      <c r="J143" s="330"/>
      <c r="K143" s="69"/>
    </row>
    <row r="144" spans="1:11" ht="7.35" customHeight="1">
      <c r="A144" s="129"/>
      <c r="B144" s="128"/>
      <c r="C144" s="128"/>
      <c r="D144" s="128"/>
      <c r="E144" s="128"/>
      <c r="F144" s="128"/>
      <c r="G144" s="128"/>
      <c r="H144" s="128"/>
      <c r="I144" s="128"/>
      <c r="J144" s="128"/>
      <c r="K144" s="156"/>
    </row>
    <row r="145" spans="1:11" ht="20.25" customHeight="1">
      <c r="A145" s="352" t="s">
        <v>1319</v>
      </c>
      <c r="B145" s="353"/>
      <c r="C145" s="353"/>
      <c r="D145" s="353"/>
      <c r="E145" s="353"/>
      <c r="F145" s="353"/>
      <c r="G145" s="353"/>
      <c r="H145" s="353"/>
      <c r="I145" s="353"/>
      <c r="J145" s="353"/>
      <c r="K145" s="353"/>
    </row>
    <row r="146" spans="1:11" ht="31.2">
      <c r="A146" s="131" t="s">
        <v>1016</v>
      </c>
      <c r="B146" s="131" t="s">
        <v>1017</v>
      </c>
      <c r="C146" s="354" t="s">
        <v>1018</v>
      </c>
      <c r="D146" s="248"/>
      <c r="E146" s="248"/>
      <c r="F146" s="354" t="s">
        <v>1019</v>
      </c>
      <c r="G146" s="335"/>
      <c r="H146" s="355" t="s">
        <v>1020</v>
      </c>
      <c r="I146" s="356"/>
      <c r="J146" s="356"/>
      <c r="K146" s="131" t="s">
        <v>1021</v>
      </c>
    </row>
    <row r="147" spans="1:11" ht="106.5" customHeight="1">
      <c r="A147" s="159" t="s">
        <v>1155</v>
      </c>
      <c r="B147" s="159" t="s">
        <v>1023</v>
      </c>
      <c r="C147" s="337" t="s">
        <v>1024</v>
      </c>
      <c r="D147" s="248"/>
      <c r="E147" s="248"/>
      <c r="F147" s="336" t="s">
        <v>1025</v>
      </c>
      <c r="G147" s="335"/>
      <c r="H147" s="329" t="s">
        <v>1320</v>
      </c>
      <c r="I147" s="338"/>
      <c r="J147" s="338"/>
      <c r="K147" s="69"/>
    </row>
    <row r="148" spans="1:11" ht="50.55" customHeight="1">
      <c r="A148" s="159" t="s">
        <v>1157</v>
      </c>
      <c r="B148" s="159" t="s">
        <v>1055</v>
      </c>
      <c r="C148" s="337" t="s">
        <v>1158</v>
      </c>
      <c r="D148" s="248"/>
      <c r="E148" s="248"/>
      <c r="F148" s="336" t="s">
        <v>1025</v>
      </c>
      <c r="G148" s="335"/>
      <c r="H148" s="329" t="s">
        <v>1159</v>
      </c>
      <c r="I148" s="338"/>
      <c r="J148" s="338"/>
      <c r="K148" s="69"/>
    </row>
    <row r="149" spans="1:11" ht="53.85" customHeight="1">
      <c r="A149" s="130" t="s">
        <v>176</v>
      </c>
      <c r="B149" s="159" t="s">
        <v>1160</v>
      </c>
      <c r="C149" s="331" t="s">
        <v>1161</v>
      </c>
      <c r="D149" s="248"/>
      <c r="E149" s="248"/>
      <c r="F149" s="336" t="s">
        <v>1308</v>
      </c>
      <c r="G149" s="335"/>
      <c r="H149" s="329" t="s">
        <v>1162</v>
      </c>
      <c r="I149" s="350"/>
      <c r="J149" s="350"/>
      <c r="K149" s="69"/>
    </row>
    <row r="150" spans="1:11" ht="58.35" customHeight="1">
      <c r="A150" s="130" t="s">
        <v>1163</v>
      </c>
      <c r="B150" s="159" t="s">
        <v>1309</v>
      </c>
      <c r="C150" s="331" t="s">
        <v>1321</v>
      </c>
      <c r="D150" s="248"/>
      <c r="E150" s="248"/>
      <c r="F150" s="334" t="s">
        <v>1322</v>
      </c>
      <c r="G150" s="335"/>
      <c r="H150" s="329" t="s">
        <v>1323</v>
      </c>
      <c r="I150" s="350"/>
      <c r="J150" s="350"/>
      <c r="K150" s="69"/>
    </row>
    <row r="151" spans="1:11" ht="57.75" customHeight="1">
      <c r="A151" s="130" t="s">
        <v>1168</v>
      </c>
      <c r="B151" s="159" t="s">
        <v>1169</v>
      </c>
      <c r="C151" s="331" t="s">
        <v>1170</v>
      </c>
      <c r="D151" s="248"/>
      <c r="E151" s="248"/>
      <c r="F151" s="336" t="s">
        <v>1324</v>
      </c>
      <c r="G151" s="335"/>
      <c r="H151" s="329" t="s">
        <v>1325</v>
      </c>
      <c r="I151" s="330"/>
      <c r="J151" s="330"/>
      <c r="K151" s="69"/>
    </row>
    <row r="152" spans="1:11" ht="57.75" customHeight="1">
      <c r="A152" s="130" t="s">
        <v>1173</v>
      </c>
      <c r="B152" s="159" t="s">
        <v>1169</v>
      </c>
      <c r="C152" s="331" t="s">
        <v>1326</v>
      </c>
      <c r="D152" s="248"/>
      <c r="E152" s="248"/>
      <c r="F152" s="334" t="s">
        <v>1327</v>
      </c>
      <c r="G152" s="335"/>
      <c r="H152" s="329" t="s">
        <v>1328</v>
      </c>
      <c r="I152" s="330"/>
      <c r="J152" s="330"/>
      <c r="K152" s="69"/>
    </row>
    <row r="153" spans="1:11" ht="57.75" customHeight="1">
      <c r="A153" s="130" t="s">
        <v>1176</v>
      </c>
      <c r="B153" s="159" t="s">
        <v>1169</v>
      </c>
      <c r="C153" s="331" t="s">
        <v>1170</v>
      </c>
      <c r="D153" s="248"/>
      <c r="E153" s="248"/>
      <c r="F153" s="339" t="s">
        <v>1329</v>
      </c>
      <c r="G153" s="340"/>
      <c r="H153" s="329" t="s">
        <v>1330</v>
      </c>
      <c r="I153" s="330"/>
      <c r="J153" s="330"/>
      <c r="K153" s="69"/>
    </row>
    <row r="154" spans="1:11" ht="57.75" customHeight="1">
      <c r="A154" s="130" t="s">
        <v>1178</v>
      </c>
      <c r="B154" s="159" t="s">
        <v>1169</v>
      </c>
      <c r="C154" s="331" t="s">
        <v>1170</v>
      </c>
      <c r="D154" s="248"/>
      <c r="E154" s="248"/>
      <c r="F154" s="339" t="s">
        <v>1331</v>
      </c>
      <c r="G154" s="340"/>
      <c r="H154" s="329" t="s">
        <v>1332</v>
      </c>
      <c r="I154" s="330"/>
      <c r="J154" s="330"/>
      <c r="K154" s="69"/>
    </row>
    <row r="155" spans="1:11" ht="57.75" customHeight="1">
      <c r="A155" s="130" t="s">
        <v>1180</v>
      </c>
      <c r="B155" s="159" t="s">
        <v>1169</v>
      </c>
      <c r="C155" s="331" t="s">
        <v>1170</v>
      </c>
      <c r="D155" s="248"/>
      <c r="E155" s="248"/>
      <c r="F155" s="339" t="s">
        <v>1333</v>
      </c>
      <c r="G155" s="340"/>
      <c r="H155" s="329" t="s">
        <v>1334</v>
      </c>
      <c r="I155" s="330"/>
      <c r="J155" s="330"/>
      <c r="K155" s="69"/>
    </row>
    <row r="156" spans="1:11" ht="62.55" customHeight="1">
      <c r="A156" s="130" t="s">
        <v>1335</v>
      </c>
      <c r="B156" s="159" t="s">
        <v>1309</v>
      </c>
      <c r="C156" s="331" t="s">
        <v>1321</v>
      </c>
      <c r="D156" s="248"/>
      <c r="E156" s="248"/>
      <c r="F156" s="334" t="s">
        <v>1336</v>
      </c>
      <c r="G156" s="335"/>
      <c r="H156" s="329" t="s">
        <v>1337</v>
      </c>
      <c r="I156" s="350"/>
      <c r="J156" s="350"/>
      <c r="K156" s="69"/>
    </row>
    <row r="157" spans="1:11" ht="57.75" customHeight="1">
      <c r="A157" s="130" t="s">
        <v>1338</v>
      </c>
      <c r="B157" s="159" t="s">
        <v>1169</v>
      </c>
      <c r="C157" s="331" t="s">
        <v>1170</v>
      </c>
      <c r="D157" s="248"/>
      <c r="E157" s="248"/>
      <c r="F157" s="339" t="s">
        <v>1339</v>
      </c>
      <c r="G157" s="340"/>
      <c r="H157" s="329" t="s">
        <v>1330</v>
      </c>
      <c r="I157" s="330"/>
      <c r="J157" s="330"/>
      <c r="K157" s="69"/>
    </row>
    <row r="158" spans="1:11" ht="57.75" customHeight="1">
      <c r="A158" s="130" t="s">
        <v>1340</v>
      </c>
      <c r="B158" s="159" t="s">
        <v>1169</v>
      </c>
      <c r="C158" s="331" t="s">
        <v>1170</v>
      </c>
      <c r="D158" s="248"/>
      <c r="E158" s="248"/>
      <c r="F158" s="339" t="s">
        <v>1341</v>
      </c>
      <c r="G158" s="340"/>
      <c r="H158" s="329" t="s">
        <v>1332</v>
      </c>
      <c r="I158" s="330"/>
      <c r="J158" s="330"/>
      <c r="K158" s="69"/>
    </row>
    <row r="159" spans="1:11" ht="7.35" customHeight="1">
      <c r="A159" s="129"/>
      <c r="B159" s="128"/>
      <c r="C159" s="128"/>
      <c r="D159" s="128"/>
      <c r="E159" s="128"/>
      <c r="F159" s="128"/>
      <c r="G159" s="128"/>
      <c r="H159" s="128"/>
      <c r="I159" s="128"/>
      <c r="J159" s="128"/>
      <c r="K159" s="156"/>
    </row>
    <row r="160" spans="1:11" ht="20.25" customHeight="1">
      <c r="A160" s="352" t="s">
        <v>1342</v>
      </c>
      <c r="B160" s="353"/>
      <c r="C160" s="353"/>
      <c r="D160" s="353"/>
      <c r="E160" s="353"/>
      <c r="F160" s="353"/>
      <c r="G160" s="353"/>
      <c r="H160" s="353"/>
      <c r="I160" s="353"/>
      <c r="J160" s="353"/>
      <c r="K160" s="353"/>
    </row>
    <row r="161" spans="1:11" ht="31.2">
      <c r="A161" s="131" t="s">
        <v>1016</v>
      </c>
      <c r="B161" s="131" t="s">
        <v>1017</v>
      </c>
      <c r="C161" s="354" t="s">
        <v>1018</v>
      </c>
      <c r="D161" s="248"/>
      <c r="E161" s="248"/>
      <c r="F161" s="354" t="s">
        <v>1019</v>
      </c>
      <c r="G161" s="335"/>
      <c r="H161" s="355" t="s">
        <v>1020</v>
      </c>
      <c r="I161" s="356"/>
      <c r="J161" s="356"/>
      <c r="K161" s="131" t="s">
        <v>1021</v>
      </c>
    </row>
    <row r="162" spans="1:11" ht="106.5" customHeight="1">
      <c r="A162" s="159" t="s">
        <v>1155</v>
      </c>
      <c r="B162" s="159" t="s">
        <v>1023</v>
      </c>
      <c r="C162" s="337" t="s">
        <v>1024</v>
      </c>
      <c r="D162" s="248"/>
      <c r="E162" s="248"/>
      <c r="F162" s="336" t="s">
        <v>1025</v>
      </c>
      <c r="G162" s="335"/>
      <c r="H162" s="329" t="s">
        <v>1343</v>
      </c>
      <c r="I162" s="338"/>
      <c r="J162" s="338"/>
      <c r="K162" s="69"/>
    </row>
    <row r="163" spans="1:11" ht="50.55" customHeight="1">
      <c r="A163" s="159" t="s">
        <v>1157</v>
      </c>
      <c r="B163" s="159" t="s">
        <v>1055</v>
      </c>
      <c r="C163" s="337" t="s">
        <v>1158</v>
      </c>
      <c r="D163" s="248"/>
      <c r="E163" s="248"/>
      <c r="F163" s="336" t="s">
        <v>1025</v>
      </c>
      <c r="G163" s="335"/>
      <c r="H163" s="329" t="s">
        <v>1159</v>
      </c>
      <c r="I163" s="338"/>
      <c r="J163" s="338"/>
      <c r="K163" s="69"/>
    </row>
    <row r="164" spans="1:11" ht="53.85" customHeight="1">
      <c r="A164" s="130" t="s">
        <v>176</v>
      </c>
      <c r="B164" s="159" t="s">
        <v>1160</v>
      </c>
      <c r="C164" s="331" t="s">
        <v>1161</v>
      </c>
      <c r="D164" s="248"/>
      <c r="E164" s="248"/>
      <c r="F164" s="336" t="s">
        <v>1308</v>
      </c>
      <c r="G164" s="335"/>
      <c r="H164" s="329" t="s">
        <v>1162</v>
      </c>
      <c r="I164" s="350"/>
      <c r="J164" s="350"/>
      <c r="K164" s="69"/>
    </row>
    <row r="165" spans="1:11" ht="66.599999999999994" customHeight="1">
      <c r="A165" s="130" t="s">
        <v>1163</v>
      </c>
      <c r="B165" s="159" t="s">
        <v>1309</v>
      </c>
      <c r="C165" s="331" t="s">
        <v>1321</v>
      </c>
      <c r="D165" s="248"/>
      <c r="E165" s="248"/>
      <c r="F165" s="334" t="s">
        <v>1322</v>
      </c>
      <c r="G165" s="335"/>
      <c r="H165" s="329" t="s">
        <v>1323</v>
      </c>
      <c r="I165" s="350"/>
      <c r="J165" s="350"/>
      <c r="K165" s="69"/>
    </row>
    <row r="166" spans="1:11" ht="57.75" customHeight="1">
      <c r="A166" s="130" t="s">
        <v>1168</v>
      </c>
      <c r="B166" s="159" t="s">
        <v>1169</v>
      </c>
      <c r="C166" s="331" t="s">
        <v>1170</v>
      </c>
      <c r="D166" s="248"/>
      <c r="E166" s="248"/>
      <c r="F166" s="336" t="s">
        <v>1171</v>
      </c>
      <c r="G166" s="335"/>
      <c r="H166" s="329" t="s">
        <v>1269</v>
      </c>
      <c r="I166" s="330"/>
      <c r="J166" s="330"/>
      <c r="K166" s="69"/>
    </row>
    <row r="167" spans="1:11" ht="57.75" customHeight="1">
      <c r="A167" s="130" t="s">
        <v>1173</v>
      </c>
      <c r="B167" s="159" t="s">
        <v>1169</v>
      </c>
      <c r="C167" s="331" t="s">
        <v>1170</v>
      </c>
      <c r="D167" s="248"/>
      <c r="E167" s="248"/>
      <c r="F167" s="336" t="s">
        <v>1174</v>
      </c>
      <c r="G167" s="335"/>
      <c r="H167" s="329" t="s">
        <v>1344</v>
      </c>
      <c r="I167" s="330"/>
      <c r="J167" s="330"/>
      <c r="K167" s="69"/>
    </row>
    <row r="168" spans="1:11" ht="7.35" customHeight="1">
      <c r="A168" s="129"/>
      <c r="B168" s="128"/>
      <c r="C168" s="128"/>
      <c r="D168" s="128"/>
      <c r="E168" s="128"/>
      <c r="F168" s="128"/>
      <c r="G168" s="128"/>
      <c r="H168" s="128"/>
      <c r="I168" s="128"/>
      <c r="J168" s="128"/>
      <c r="K168" s="156"/>
    </row>
    <row r="169" spans="1:11" ht="20.25" customHeight="1">
      <c r="A169" s="352" t="s">
        <v>1345</v>
      </c>
      <c r="B169" s="353"/>
      <c r="C169" s="353"/>
      <c r="D169" s="353"/>
      <c r="E169" s="353"/>
      <c r="F169" s="353"/>
      <c r="G169" s="353"/>
      <c r="H169" s="353"/>
      <c r="I169" s="353"/>
      <c r="J169" s="353"/>
      <c r="K169" s="353"/>
    </row>
    <row r="170" spans="1:11" ht="31.2">
      <c r="A170" s="131" t="s">
        <v>1016</v>
      </c>
      <c r="B170" s="131" t="s">
        <v>1017</v>
      </c>
      <c r="C170" s="354" t="s">
        <v>1018</v>
      </c>
      <c r="D170" s="248"/>
      <c r="E170" s="248"/>
      <c r="F170" s="354" t="s">
        <v>1019</v>
      </c>
      <c r="G170" s="335"/>
      <c r="H170" s="355" t="s">
        <v>1020</v>
      </c>
      <c r="I170" s="356"/>
      <c r="J170" s="356"/>
      <c r="K170" s="131" t="s">
        <v>1021</v>
      </c>
    </row>
    <row r="171" spans="1:11" ht="93" customHeight="1">
      <c r="A171" s="159" t="s">
        <v>1155</v>
      </c>
      <c r="B171" s="159" t="s">
        <v>1023</v>
      </c>
      <c r="C171" s="337" t="s">
        <v>1024</v>
      </c>
      <c r="D171" s="248"/>
      <c r="E171" s="248"/>
      <c r="F171" s="336" t="s">
        <v>1025</v>
      </c>
      <c r="G171" s="335"/>
      <c r="H171" s="329" t="s">
        <v>1343</v>
      </c>
      <c r="I171" s="338"/>
      <c r="J171" s="338"/>
      <c r="K171" s="69"/>
    </row>
    <row r="172" spans="1:11" ht="50.55" customHeight="1">
      <c r="A172" s="159" t="s">
        <v>1157</v>
      </c>
      <c r="B172" s="159" t="s">
        <v>1055</v>
      </c>
      <c r="C172" s="337" t="s">
        <v>1158</v>
      </c>
      <c r="D172" s="248"/>
      <c r="E172" s="248"/>
      <c r="F172" s="336" t="s">
        <v>1025</v>
      </c>
      <c r="G172" s="335"/>
      <c r="H172" s="329" t="s">
        <v>1159</v>
      </c>
      <c r="I172" s="338"/>
      <c r="J172" s="338"/>
      <c r="K172" s="69"/>
    </row>
    <row r="173" spans="1:11" ht="47.1" customHeight="1">
      <c r="A173" s="130" t="s">
        <v>176</v>
      </c>
      <c r="B173" s="159" t="s">
        <v>1160</v>
      </c>
      <c r="C173" s="331" t="s">
        <v>1161</v>
      </c>
      <c r="D173" s="248"/>
      <c r="E173" s="248"/>
      <c r="F173" s="336" t="s">
        <v>1308</v>
      </c>
      <c r="G173" s="335"/>
      <c r="H173" s="329" t="s">
        <v>1162</v>
      </c>
      <c r="I173" s="350"/>
      <c r="J173" s="350"/>
      <c r="K173" s="69"/>
    </row>
    <row r="174" spans="1:11" ht="66.599999999999994" customHeight="1">
      <c r="A174" s="130" t="s">
        <v>1163</v>
      </c>
      <c r="B174" s="159" t="s">
        <v>1309</v>
      </c>
      <c r="C174" s="331" t="s">
        <v>1321</v>
      </c>
      <c r="D174" s="248"/>
      <c r="E174" s="248"/>
      <c r="F174" s="334" t="s">
        <v>1322</v>
      </c>
      <c r="G174" s="335"/>
      <c r="H174" s="329" t="s">
        <v>1323</v>
      </c>
      <c r="I174" s="350"/>
      <c r="J174" s="350"/>
      <c r="K174" s="69"/>
    </row>
    <row r="175" spans="1:11" ht="57.75" customHeight="1">
      <c r="A175" s="130" t="s">
        <v>1168</v>
      </c>
      <c r="B175" s="159" t="s">
        <v>1169</v>
      </c>
      <c r="C175" s="331" t="s">
        <v>1170</v>
      </c>
      <c r="D175" s="248"/>
      <c r="E175" s="248"/>
      <c r="F175" s="336" t="s">
        <v>1171</v>
      </c>
      <c r="G175" s="335"/>
      <c r="H175" s="329" t="s">
        <v>1346</v>
      </c>
      <c r="I175" s="330"/>
      <c r="J175" s="330"/>
      <c r="K175" s="69"/>
    </row>
    <row r="176" spans="1:11" ht="57.75" customHeight="1">
      <c r="A176" s="130" t="s">
        <v>1173</v>
      </c>
      <c r="B176" s="159" t="s">
        <v>1169</v>
      </c>
      <c r="C176" s="331" t="s">
        <v>1347</v>
      </c>
      <c r="D176" s="248"/>
      <c r="E176" s="248"/>
      <c r="F176" s="336" t="s">
        <v>1348</v>
      </c>
      <c r="G176" s="335"/>
      <c r="H176" s="329" t="s">
        <v>1349</v>
      </c>
      <c r="I176" s="330"/>
      <c r="J176" s="330"/>
      <c r="K176" s="69"/>
    </row>
    <row r="177" spans="1:11" ht="57.75" customHeight="1">
      <c r="A177" s="130" t="s">
        <v>1176</v>
      </c>
      <c r="B177" s="159" t="s">
        <v>1169</v>
      </c>
      <c r="C177" s="331" t="s">
        <v>1350</v>
      </c>
      <c r="D177" s="248"/>
      <c r="E177" s="248"/>
      <c r="F177" s="336" t="s">
        <v>1351</v>
      </c>
      <c r="G177" s="335"/>
      <c r="H177" s="329" t="s">
        <v>1352</v>
      </c>
      <c r="I177" s="330"/>
      <c r="J177" s="330"/>
      <c r="K177" s="69"/>
    </row>
    <row r="178" spans="1:11" ht="57.75" customHeight="1">
      <c r="A178" s="130" t="s">
        <v>1178</v>
      </c>
      <c r="B178" s="159" t="s">
        <v>1169</v>
      </c>
      <c r="C178" s="331" t="s">
        <v>1170</v>
      </c>
      <c r="D178" s="248"/>
      <c r="E178" s="248"/>
      <c r="F178" s="336" t="s">
        <v>1179</v>
      </c>
      <c r="G178" s="335"/>
      <c r="H178" s="329" t="s">
        <v>1353</v>
      </c>
      <c r="I178" s="330"/>
      <c r="J178" s="330"/>
      <c r="K178" s="69"/>
    </row>
    <row r="179" spans="1:11" ht="66.599999999999994" customHeight="1">
      <c r="A179" s="130" t="s">
        <v>1354</v>
      </c>
      <c r="B179" s="159" t="s">
        <v>1309</v>
      </c>
      <c r="C179" s="331" t="s">
        <v>1321</v>
      </c>
      <c r="D179" s="248"/>
      <c r="E179" s="248"/>
      <c r="F179" s="334" t="s">
        <v>1322</v>
      </c>
      <c r="G179" s="335"/>
      <c r="H179" s="329" t="s">
        <v>1355</v>
      </c>
      <c r="I179" s="350"/>
      <c r="J179" s="350"/>
      <c r="K179" s="69"/>
    </row>
    <row r="180" spans="1:11" ht="57.75" customHeight="1">
      <c r="A180" s="130" t="s">
        <v>1356</v>
      </c>
      <c r="B180" s="159" t="s">
        <v>1169</v>
      </c>
      <c r="C180" s="331" t="s">
        <v>1282</v>
      </c>
      <c r="D180" s="248"/>
      <c r="E180" s="248"/>
      <c r="F180" s="336" t="s">
        <v>1357</v>
      </c>
      <c r="G180" s="335"/>
      <c r="H180" s="329" t="s">
        <v>1352</v>
      </c>
      <c r="I180" s="330"/>
      <c r="J180" s="330"/>
      <c r="K180" s="69"/>
    </row>
    <row r="181" spans="1:11" ht="57.75" customHeight="1">
      <c r="A181" s="130" t="s">
        <v>1338</v>
      </c>
      <c r="B181" s="159" t="s">
        <v>1169</v>
      </c>
      <c r="C181" s="331" t="s">
        <v>1282</v>
      </c>
      <c r="D181" s="248"/>
      <c r="E181" s="248"/>
      <c r="F181" s="336" t="s">
        <v>1358</v>
      </c>
      <c r="G181" s="335"/>
      <c r="H181" s="329" t="s">
        <v>1349</v>
      </c>
      <c r="I181" s="330"/>
      <c r="J181" s="330"/>
      <c r="K181" s="69"/>
    </row>
    <row r="182" spans="1:11" ht="29.1" customHeight="1">
      <c r="A182" s="130" t="s">
        <v>1359</v>
      </c>
      <c r="B182" s="159" t="s">
        <v>1201</v>
      </c>
      <c r="C182" s="331" t="s">
        <v>1202</v>
      </c>
      <c r="D182" s="248"/>
      <c r="E182" s="248"/>
      <c r="F182" s="336" t="s">
        <v>1360</v>
      </c>
      <c r="G182" s="335"/>
      <c r="H182" s="329" t="s">
        <v>1361</v>
      </c>
      <c r="I182" s="330"/>
      <c r="J182" s="330"/>
      <c r="K182" s="69"/>
    </row>
    <row r="183" spans="1:11" ht="29.1" customHeight="1">
      <c r="A183" s="130" t="s">
        <v>1340</v>
      </c>
      <c r="B183" s="159" t="s">
        <v>1201</v>
      </c>
      <c r="C183" s="331" t="s">
        <v>1202</v>
      </c>
      <c r="D183" s="248"/>
      <c r="E183" s="248"/>
      <c r="F183" s="336" t="s">
        <v>1362</v>
      </c>
      <c r="G183" s="335"/>
      <c r="H183" s="329" t="s">
        <v>1363</v>
      </c>
      <c r="I183" s="330"/>
      <c r="J183" s="330"/>
      <c r="K183" s="69"/>
    </row>
    <row r="184" spans="1:11" ht="7.35" customHeight="1">
      <c r="A184" s="129"/>
      <c r="B184" s="128"/>
      <c r="C184" s="128"/>
      <c r="D184" s="128"/>
      <c r="E184" s="128"/>
      <c r="F184" s="128"/>
      <c r="G184" s="128"/>
      <c r="H184" s="128"/>
      <c r="I184" s="128"/>
      <c r="J184" s="128"/>
      <c r="K184" s="156"/>
    </row>
    <row r="185" spans="1:11" ht="20.25" customHeight="1">
      <c r="A185" s="352" t="s">
        <v>1364</v>
      </c>
      <c r="B185" s="353"/>
      <c r="C185" s="353"/>
      <c r="D185" s="353"/>
      <c r="E185" s="353"/>
      <c r="F185" s="353"/>
      <c r="G185" s="353"/>
      <c r="H185" s="353"/>
      <c r="I185" s="353"/>
      <c r="J185" s="353"/>
      <c r="K185" s="353"/>
    </row>
    <row r="186" spans="1:11" ht="31.2">
      <c r="A186" s="131" t="s">
        <v>1016</v>
      </c>
      <c r="B186" s="131" t="s">
        <v>1017</v>
      </c>
      <c r="C186" s="354" t="s">
        <v>1018</v>
      </c>
      <c r="D186" s="248"/>
      <c r="E186" s="248"/>
      <c r="F186" s="354" t="s">
        <v>1019</v>
      </c>
      <c r="G186" s="335"/>
      <c r="H186" s="355" t="s">
        <v>1020</v>
      </c>
      <c r="I186" s="356"/>
      <c r="J186" s="356"/>
      <c r="K186" s="131" t="s">
        <v>1021</v>
      </c>
    </row>
    <row r="187" spans="1:11" ht="90.6" customHeight="1">
      <c r="A187" s="159" t="s">
        <v>1365</v>
      </c>
      <c r="B187" s="159" t="s">
        <v>1023</v>
      </c>
      <c r="C187" s="337" t="s">
        <v>1024</v>
      </c>
      <c r="D187" s="248"/>
      <c r="E187" s="248"/>
      <c r="F187" s="336" t="s">
        <v>1025</v>
      </c>
      <c r="G187" s="335"/>
      <c r="H187" s="329" t="s">
        <v>1366</v>
      </c>
      <c r="I187" s="338"/>
      <c r="J187" s="338"/>
      <c r="K187" s="69"/>
    </row>
    <row r="188" spans="1:11" ht="50.55" customHeight="1">
      <c r="A188" s="159" t="s">
        <v>1157</v>
      </c>
      <c r="B188" s="159" t="s">
        <v>1055</v>
      </c>
      <c r="C188" s="337" t="s">
        <v>1158</v>
      </c>
      <c r="D188" s="248"/>
      <c r="E188" s="248"/>
      <c r="F188" s="336" t="s">
        <v>1025</v>
      </c>
      <c r="G188" s="335"/>
      <c r="H188" s="329" t="s">
        <v>1159</v>
      </c>
      <c r="I188" s="338"/>
      <c r="J188" s="338"/>
      <c r="K188" s="69"/>
    </row>
    <row r="189" spans="1:11" ht="65.55" customHeight="1">
      <c r="A189" s="130" t="s">
        <v>1163</v>
      </c>
      <c r="B189" s="159" t="s">
        <v>1309</v>
      </c>
      <c r="C189" s="331" t="s">
        <v>1321</v>
      </c>
      <c r="D189" s="248"/>
      <c r="E189" s="248"/>
      <c r="F189" s="334" t="s">
        <v>1322</v>
      </c>
      <c r="G189" s="335"/>
      <c r="H189" s="329" t="s">
        <v>1323</v>
      </c>
      <c r="I189" s="350"/>
      <c r="J189" s="350"/>
      <c r="K189" s="69"/>
    </row>
    <row r="190" spans="1:11" ht="86.1" customHeight="1">
      <c r="A190" s="159" t="s">
        <v>1163</v>
      </c>
      <c r="B190" s="159" t="s">
        <v>1055</v>
      </c>
      <c r="C190" s="342" t="s">
        <v>1223</v>
      </c>
      <c r="D190" s="343"/>
      <c r="E190" s="344"/>
      <c r="F190" s="345" t="s">
        <v>1025</v>
      </c>
      <c r="G190" s="346"/>
      <c r="H190" s="347" t="s">
        <v>1367</v>
      </c>
      <c r="I190" s="348"/>
      <c r="J190" s="349"/>
      <c r="K190" s="69"/>
    </row>
    <row r="191" spans="1:11" ht="53.85" customHeight="1">
      <c r="A191" s="130" t="s">
        <v>176</v>
      </c>
      <c r="B191" s="159" t="s">
        <v>1160</v>
      </c>
      <c r="C191" s="331" t="s">
        <v>1161</v>
      </c>
      <c r="D191" s="248"/>
      <c r="E191" s="248"/>
      <c r="F191" s="336" t="s">
        <v>1308</v>
      </c>
      <c r="G191" s="335"/>
      <c r="H191" s="329" t="s">
        <v>1162</v>
      </c>
      <c r="I191" s="350"/>
      <c r="J191" s="350"/>
      <c r="K191" s="69"/>
    </row>
    <row r="192" spans="1:11" ht="57.75" customHeight="1">
      <c r="A192" s="130" t="s">
        <v>1168</v>
      </c>
      <c r="B192" s="159" t="s">
        <v>1169</v>
      </c>
      <c r="C192" s="331" t="s">
        <v>1368</v>
      </c>
      <c r="D192" s="248"/>
      <c r="E192" s="248"/>
      <c r="F192" s="336" t="s">
        <v>1369</v>
      </c>
      <c r="G192" s="335"/>
      <c r="H192" s="329" t="s">
        <v>1370</v>
      </c>
      <c r="I192" s="330"/>
      <c r="J192" s="330"/>
      <c r="K192" s="69"/>
    </row>
    <row r="193" spans="1:11" ht="57.75" customHeight="1">
      <c r="A193" s="130" t="s">
        <v>1173</v>
      </c>
      <c r="B193" s="159" t="s">
        <v>1169</v>
      </c>
      <c r="C193" s="331" t="s">
        <v>1368</v>
      </c>
      <c r="D193" s="248"/>
      <c r="E193" s="248"/>
      <c r="F193" s="336" t="s">
        <v>1371</v>
      </c>
      <c r="G193" s="335"/>
      <c r="H193" s="329" t="s">
        <v>1269</v>
      </c>
      <c r="I193" s="330"/>
      <c r="J193" s="330"/>
      <c r="K193" s="69"/>
    </row>
    <row r="194" spans="1:11" ht="58.05" customHeight="1">
      <c r="A194" s="130" t="s">
        <v>62</v>
      </c>
      <c r="B194" s="159" t="s">
        <v>1169</v>
      </c>
      <c r="C194" s="331" t="s">
        <v>1368</v>
      </c>
      <c r="D194" s="248"/>
      <c r="E194" s="248"/>
      <c r="F194" s="336" t="s">
        <v>1372</v>
      </c>
      <c r="G194" s="335"/>
      <c r="H194" s="329" t="s">
        <v>1373</v>
      </c>
      <c r="I194" s="330"/>
      <c r="J194" s="330"/>
      <c r="K194" s="69"/>
    </row>
    <row r="195" spans="1:11" ht="58.05" customHeight="1">
      <c r="A195" s="130" t="s">
        <v>70</v>
      </c>
      <c r="B195" s="159" t="s">
        <v>1169</v>
      </c>
      <c r="C195" s="331" t="s">
        <v>1368</v>
      </c>
      <c r="D195" s="248"/>
      <c r="E195" s="248"/>
      <c r="F195" s="336" t="s">
        <v>1374</v>
      </c>
      <c r="G195" s="335"/>
      <c r="H195" s="329" t="s">
        <v>1375</v>
      </c>
      <c r="I195" s="330"/>
      <c r="J195" s="330"/>
      <c r="K195" s="69"/>
    </row>
    <row r="196" spans="1:11" ht="44.1" customHeight="1">
      <c r="A196" s="130" t="s">
        <v>78</v>
      </c>
      <c r="B196" s="159" t="s">
        <v>1201</v>
      </c>
      <c r="C196" s="331" t="s">
        <v>1202</v>
      </c>
      <c r="D196" s="248"/>
      <c r="E196" s="248"/>
      <c r="F196" s="336" t="s">
        <v>1376</v>
      </c>
      <c r="G196" s="335"/>
      <c r="H196" s="329" t="s">
        <v>1377</v>
      </c>
      <c r="I196" s="330"/>
      <c r="J196" s="330"/>
      <c r="K196" s="69"/>
    </row>
    <row r="197" spans="1:11" ht="116.25" customHeight="1">
      <c r="A197" s="130" t="s">
        <v>1378</v>
      </c>
      <c r="B197" s="159" t="s">
        <v>1379</v>
      </c>
      <c r="C197" s="331" t="s">
        <v>1380</v>
      </c>
      <c r="D197" s="248"/>
      <c r="E197" s="248"/>
      <c r="F197" s="334" t="s">
        <v>1381</v>
      </c>
      <c r="G197" s="335"/>
      <c r="H197" s="351" t="s">
        <v>1382</v>
      </c>
      <c r="I197" s="330"/>
      <c r="J197" s="330"/>
      <c r="K197" s="69"/>
    </row>
    <row r="198" spans="1:11" ht="107.25" customHeight="1">
      <c r="A198" s="130" t="s">
        <v>1378</v>
      </c>
      <c r="B198" s="159" t="s">
        <v>1379</v>
      </c>
      <c r="C198" s="331" t="s">
        <v>1383</v>
      </c>
      <c r="D198" s="248"/>
      <c r="E198" s="248"/>
      <c r="F198" s="334" t="s">
        <v>1381</v>
      </c>
      <c r="G198" s="335"/>
      <c r="H198" s="351" t="s">
        <v>1384</v>
      </c>
      <c r="I198" s="330"/>
      <c r="J198" s="330"/>
      <c r="K198" s="69"/>
    </row>
    <row r="199" spans="1:11" ht="7.35" customHeight="1">
      <c r="A199" s="129"/>
      <c r="B199" s="128"/>
      <c r="C199" s="128"/>
      <c r="D199" s="128"/>
      <c r="E199" s="128"/>
      <c r="F199" s="128"/>
      <c r="G199" s="128"/>
      <c r="H199" s="128"/>
      <c r="I199" s="128"/>
      <c r="J199" s="128"/>
      <c r="K199" s="156"/>
    </row>
    <row r="200" spans="1:11" ht="20.25" customHeight="1">
      <c r="A200" s="352" t="s">
        <v>1385</v>
      </c>
      <c r="B200" s="353"/>
      <c r="C200" s="353"/>
      <c r="D200" s="353"/>
      <c r="E200" s="353"/>
      <c r="F200" s="353"/>
      <c r="G200" s="353"/>
      <c r="H200" s="353"/>
      <c r="I200" s="353"/>
      <c r="J200" s="353"/>
      <c r="K200" s="353"/>
    </row>
    <row r="201" spans="1:11" ht="31.2">
      <c r="A201" s="131" t="s">
        <v>1016</v>
      </c>
      <c r="B201" s="131" t="s">
        <v>1017</v>
      </c>
      <c r="C201" s="354" t="s">
        <v>1018</v>
      </c>
      <c r="D201" s="248"/>
      <c r="E201" s="248"/>
      <c r="F201" s="354" t="s">
        <v>1019</v>
      </c>
      <c r="G201" s="335"/>
      <c r="H201" s="355" t="s">
        <v>1020</v>
      </c>
      <c r="I201" s="356"/>
      <c r="J201" s="356"/>
      <c r="K201" s="131" t="s">
        <v>1021</v>
      </c>
    </row>
    <row r="202" spans="1:11" ht="106.5" customHeight="1">
      <c r="A202" s="159" t="s">
        <v>1365</v>
      </c>
      <c r="B202" s="159" t="s">
        <v>1023</v>
      </c>
      <c r="C202" s="337" t="s">
        <v>1024</v>
      </c>
      <c r="D202" s="248"/>
      <c r="E202" s="248"/>
      <c r="F202" s="336" t="s">
        <v>1025</v>
      </c>
      <c r="G202" s="335"/>
      <c r="H202" s="329" t="s">
        <v>1366</v>
      </c>
      <c r="I202" s="338"/>
      <c r="J202" s="338"/>
      <c r="K202" s="69"/>
    </row>
    <row r="203" spans="1:11" ht="50.55" customHeight="1">
      <c r="A203" s="159" t="s">
        <v>1157</v>
      </c>
      <c r="B203" s="159" t="s">
        <v>1055</v>
      </c>
      <c r="C203" s="337" t="s">
        <v>1158</v>
      </c>
      <c r="D203" s="248"/>
      <c r="E203" s="248"/>
      <c r="F203" s="336" t="s">
        <v>1025</v>
      </c>
      <c r="G203" s="335"/>
      <c r="H203" s="329" t="s">
        <v>1159</v>
      </c>
      <c r="I203" s="338"/>
      <c r="J203" s="338"/>
      <c r="K203" s="69"/>
    </row>
    <row r="204" spans="1:11" ht="65.55" customHeight="1">
      <c r="A204" s="130" t="s">
        <v>1163</v>
      </c>
      <c r="B204" s="159" t="s">
        <v>1309</v>
      </c>
      <c r="C204" s="331" t="s">
        <v>1321</v>
      </c>
      <c r="D204" s="248"/>
      <c r="E204" s="248"/>
      <c r="F204" s="334" t="s">
        <v>1322</v>
      </c>
      <c r="G204" s="335"/>
      <c r="H204" s="329" t="s">
        <v>1323</v>
      </c>
      <c r="I204" s="350"/>
      <c r="J204" s="350"/>
      <c r="K204" s="69"/>
    </row>
    <row r="205" spans="1:11" ht="86.1" customHeight="1">
      <c r="A205" s="159" t="s">
        <v>1163</v>
      </c>
      <c r="B205" s="159" t="s">
        <v>1055</v>
      </c>
      <c r="C205" s="337" t="s">
        <v>1223</v>
      </c>
      <c r="D205" s="337"/>
      <c r="E205" s="337"/>
      <c r="F205" s="336" t="s">
        <v>1025</v>
      </c>
      <c r="G205" s="336"/>
      <c r="H205" s="329" t="s">
        <v>1367</v>
      </c>
      <c r="I205" s="329"/>
      <c r="J205" s="329"/>
      <c r="K205" s="69"/>
    </row>
    <row r="206" spans="1:11" ht="53.85" customHeight="1">
      <c r="A206" s="130" t="s">
        <v>176</v>
      </c>
      <c r="B206" s="159" t="s">
        <v>1160</v>
      </c>
      <c r="C206" s="331" t="s">
        <v>1161</v>
      </c>
      <c r="D206" s="248"/>
      <c r="E206" s="248"/>
      <c r="F206" s="336" t="s">
        <v>1308</v>
      </c>
      <c r="G206" s="335"/>
      <c r="H206" s="329" t="s">
        <v>1162</v>
      </c>
      <c r="I206" s="350"/>
      <c r="J206" s="350"/>
      <c r="K206" s="69"/>
    </row>
    <row r="207" spans="1:11" ht="57.75" customHeight="1">
      <c r="A207" s="130" t="s">
        <v>1173</v>
      </c>
      <c r="B207" s="159" t="s">
        <v>1169</v>
      </c>
      <c r="C207" s="331" t="s">
        <v>1386</v>
      </c>
      <c r="D207" s="248"/>
      <c r="E207" s="248"/>
      <c r="F207" s="336" t="s">
        <v>1387</v>
      </c>
      <c r="G207" s="335"/>
      <c r="H207" s="329" t="s">
        <v>1388</v>
      </c>
      <c r="I207" s="330"/>
      <c r="J207" s="330"/>
      <c r="K207" s="69"/>
    </row>
    <row r="208" spans="1:11" ht="7.35" customHeight="1">
      <c r="A208" s="129"/>
      <c r="B208" s="128"/>
      <c r="C208" s="128"/>
      <c r="D208" s="128"/>
      <c r="E208" s="128"/>
      <c r="F208" s="128"/>
      <c r="G208" s="128"/>
      <c r="H208" s="128"/>
      <c r="I208" s="128"/>
      <c r="J208" s="128"/>
      <c r="K208" s="156"/>
    </row>
    <row r="209" spans="1:11" ht="20.25" customHeight="1">
      <c r="A209" s="352" t="s">
        <v>1389</v>
      </c>
      <c r="B209" s="353"/>
      <c r="C209" s="353"/>
      <c r="D209" s="353"/>
      <c r="E209" s="353"/>
      <c r="F209" s="353"/>
      <c r="G209" s="353"/>
      <c r="H209" s="353"/>
      <c r="I209" s="353"/>
      <c r="J209" s="353"/>
      <c r="K209" s="353"/>
    </row>
    <row r="210" spans="1:11" ht="31.2">
      <c r="A210" s="131" t="s">
        <v>1016</v>
      </c>
      <c r="B210" s="131" t="s">
        <v>1017</v>
      </c>
      <c r="C210" s="354" t="s">
        <v>1018</v>
      </c>
      <c r="D210" s="248"/>
      <c r="E210" s="248"/>
      <c r="F210" s="354" t="s">
        <v>1019</v>
      </c>
      <c r="G210" s="335"/>
      <c r="H210" s="355" t="s">
        <v>1020</v>
      </c>
      <c r="I210" s="356"/>
      <c r="J210" s="356"/>
      <c r="K210" s="131" t="s">
        <v>1050</v>
      </c>
    </row>
    <row r="211" spans="1:11" ht="89.25" customHeight="1">
      <c r="A211" s="159" t="s">
        <v>1390</v>
      </c>
      <c r="B211" s="159" t="s">
        <v>1023</v>
      </c>
      <c r="C211" s="337" t="s">
        <v>1391</v>
      </c>
      <c r="D211" s="248"/>
      <c r="E211" s="248"/>
      <c r="F211" s="336" t="s">
        <v>1025</v>
      </c>
      <c r="G211" s="335"/>
      <c r="H211" s="329" t="s">
        <v>1392</v>
      </c>
      <c r="I211" s="338"/>
      <c r="J211" s="338"/>
      <c r="K211" s="69"/>
    </row>
    <row r="212" spans="1:11" ht="50.55" customHeight="1">
      <c r="A212" s="159" t="s">
        <v>1157</v>
      </c>
      <c r="B212" s="159" t="s">
        <v>1055</v>
      </c>
      <c r="C212" s="337" t="s">
        <v>1158</v>
      </c>
      <c r="D212" s="248"/>
      <c r="E212" s="248"/>
      <c r="F212" s="336" t="s">
        <v>1025</v>
      </c>
      <c r="G212" s="335"/>
      <c r="H212" s="329" t="s">
        <v>1159</v>
      </c>
      <c r="I212" s="338"/>
      <c r="J212" s="338"/>
      <c r="K212" s="69"/>
    </row>
    <row r="213" spans="1:11" ht="75.599999999999994" customHeight="1">
      <c r="A213" s="159" t="s">
        <v>1393</v>
      </c>
      <c r="B213" s="159" t="s">
        <v>1055</v>
      </c>
      <c r="C213" s="337" t="s">
        <v>1056</v>
      </c>
      <c r="D213" s="248"/>
      <c r="E213" s="248"/>
      <c r="F213" s="336" t="s">
        <v>1025</v>
      </c>
      <c r="G213" s="335"/>
      <c r="H213" s="329" t="s">
        <v>1394</v>
      </c>
      <c r="I213" s="338"/>
      <c r="J213" s="338"/>
      <c r="K213" s="69"/>
    </row>
    <row r="214" spans="1:11" ht="49.35" customHeight="1">
      <c r="A214" s="159" t="s">
        <v>1395</v>
      </c>
      <c r="B214" s="159" t="s">
        <v>1396</v>
      </c>
      <c r="C214" s="331" t="s">
        <v>1397</v>
      </c>
      <c r="D214" s="248"/>
      <c r="E214" s="248"/>
      <c r="F214" s="339" t="s">
        <v>1398</v>
      </c>
      <c r="G214" s="340"/>
      <c r="H214" s="329" t="s">
        <v>1399</v>
      </c>
      <c r="I214" s="330"/>
      <c r="J214" s="330"/>
      <c r="K214" s="69"/>
    </row>
    <row r="215" spans="1:11" ht="49.35" customHeight="1">
      <c r="A215" s="159" t="s">
        <v>1400</v>
      </c>
      <c r="B215" s="159" t="s">
        <v>1401</v>
      </c>
      <c r="C215" s="331" t="s">
        <v>1402</v>
      </c>
      <c r="D215" s="248"/>
      <c r="E215" s="248"/>
      <c r="F215" s="339" t="s">
        <v>1403</v>
      </c>
      <c r="G215" s="340"/>
      <c r="H215" s="329" t="s">
        <v>1404</v>
      </c>
      <c r="I215" s="350"/>
      <c r="J215" s="350"/>
      <c r="K215" s="69"/>
    </row>
    <row r="216" spans="1:11" ht="49.35" customHeight="1">
      <c r="A216" s="159" t="s">
        <v>1405</v>
      </c>
      <c r="B216" s="159" t="s">
        <v>1401</v>
      </c>
      <c r="C216" s="331" t="s">
        <v>1406</v>
      </c>
      <c r="D216" s="248"/>
      <c r="E216" s="248"/>
      <c r="F216" s="339" t="s">
        <v>1407</v>
      </c>
      <c r="G216" s="340"/>
      <c r="H216" s="329" t="s">
        <v>1408</v>
      </c>
      <c r="I216" s="350"/>
      <c r="J216" s="350"/>
      <c r="K216" s="69"/>
    </row>
    <row r="217" spans="1:11" ht="49.35" customHeight="1">
      <c r="A217" s="159" t="s">
        <v>1409</v>
      </c>
      <c r="B217" s="159" t="s">
        <v>1201</v>
      </c>
      <c r="C217" s="331" t="s">
        <v>1202</v>
      </c>
      <c r="D217" s="248"/>
      <c r="E217" s="248"/>
      <c r="F217" s="339" t="s">
        <v>1410</v>
      </c>
      <c r="G217" s="340"/>
      <c r="H217" s="329" t="s">
        <v>1411</v>
      </c>
      <c r="I217" s="350"/>
      <c r="J217" s="350"/>
      <c r="K217" s="69"/>
    </row>
    <row r="218" spans="1:11" ht="49.35" customHeight="1">
      <c r="A218" s="159" t="s">
        <v>1412</v>
      </c>
      <c r="B218" s="159" t="s">
        <v>1401</v>
      </c>
      <c r="C218" s="331" t="s">
        <v>1413</v>
      </c>
      <c r="D218" s="248"/>
      <c r="E218" s="248"/>
      <c r="F218" s="339" t="s">
        <v>1414</v>
      </c>
      <c r="G218" s="340"/>
      <c r="H218" s="329" t="s">
        <v>1415</v>
      </c>
      <c r="I218" s="350"/>
      <c r="J218" s="350"/>
      <c r="K218" s="69"/>
    </row>
    <row r="219" spans="1:11" ht="49.35" customHeight="1">
      <c r="A219" s="159" t="s">
        <v>1416</v>
      </c>
      <c r="B219" s="159" t="s">
        <v>1401</v>
      </c>
      <c r="C219" s="331" t="s">
        <v>1417</v>
      </c>
      <c r="D219" s="248"/>
      <c r="E219" s="248"/>
      <c r="F219" s="339" t="s">
        <v>1418</v>
      </c>
      <c r="G219" s="340"/>
      <c r="H219" s="329" t="s">
        <v>1419</v>
      </c>
      <c r="I219" s="350"/>
      <c r="J219" s="350"/>
      <c r="K219" s="69"/>
    </row>
    <row r="220" spans="1:11" ht="49.35" customHeight="1">
      <c r="A220" s="159" t="s">
        <v>1420</v>
      </c>
      <c r="B220" s="159" t="s">
        <v>1201</v>
      </c>
      <c r="C220" s="331" t="s">
        <v>1202</v>
      </c>
      <c r="D220" s="248"/>
      <c r="E220" s="248"/>
      <c r="F220" s="339" t="s">
        <v>1421</v>
      </c>
      <c r="G220" s="340"/>
      <c r="H220" s="329" t="s">
        <v>1422</v>
      </c>
      <c r="I220" s="350"/>
      <c r="J220" s="350"/>
      <c r="K220" s="69"/>
    </row>
    <row r="221" spans="1:11" ht="7.35" customHeight="1">
      <c r="A221" s="129"/>
      <c r="B221" s="128"/>
      <c r="C221" s="128"/>
      <c r="D221" s="128"/>
      <c r="E221" s="128"/>
      <c r="F221" s="128"/>
      <c r="G221" s="128"/>
      <c r="H221" s="128"/>
      <c r="I221" s="128"/>
      <c r="J221" s="128"/>
      <c r="K221" s="156"/>
    </row>
    <row r="222" spans="1:11" ht="20.25" customHeight="1">
      <c r="A222" s="352" t="s">
        <v>1423</v>
      </c>
      <c r="B222" s="353"/>
      <c r="C222" s="353"/>
      <c r="D222" s="353"/>
      <c r="E222" s="353"/>
      <c r="F222" s="353"/>
      <c r="G222" s="353"/>
      <c r="H222" s="353"/>
      <c r="I222" s="353"/>
      <c r="J222" s="353"/>
      <c r="K222" s="353"/>
    </row>
    <row r="223" spans="1:11" ht="31.2">
      <c r="A223" s="131" t="s">
        <v>1016</v>
      </c>
      <c r="B223" s="131" t="s">
        <v>1017</v>
      </c>
      <c r="C223" s="354" t="s">
        <v>1018</v>
      </c>
      <c r="D223" s="335"/>
      <c r="E223" s="335"/>
      <c r="F223" s="354" t="s">
        <v>1019</v>
      </c>
      <c r="G223" s="335"/>
      <c r="H223" s="354" t="s">
        <v>1020</v>
      </c>
      <c r="I223" s="335"/>
      <c r="J223" s="335"/>
      <c r="K223" s="131" t="s">
        <v>1028</v>
      </c>
    </row>
    <row r="224" spans="1:11" ht="89.25" customHeight="1">
      <c r="A224" s="159" t="s">
        <v>1424</v>
      </c>
      <c r="B224" s="159" t="s">
        <v>1023</v>
      </c>
      <c r="C224" s="337" t="s">
        <v>1391</v>
      </c>
      <c r="D224" s="248"/>
      <c r="E224" s="248"/>
      <c r="F224" s="404" t="s">
        <v>1025</v>
      </c>
      <c r="G224" s="333"/>
      <c r="H224" s="329" t="s">
        <v>1425</v>
      </c>
      <c r="I224" s="338"/>
      <c r="J224" s="338"/>
      <c r="K224" s="69"/>
    </row>
    <row r="225" spans="1:11" ht="200.1" customHeight="1">
      <c r="A225" s="159" t="s">
        <v>1426</v>
      </c>
      <c r="B225" s="159" t="s">
        <v>1055</v>
      </c>
      <c r="C225" s="337" t="s">
        <v>1056</v>
      </c>
      <c r="D225" s="248"/>
      <c r="E225" s="248"/>
      <c r="F225" s="404" t="s">
        <v>1025</v>
      </c>
      <c r="G225" s="333"/>
      <c r="H225" s="329" t="s">
        <v>1427</v>
      </c>
      <c r="I225" s="329"/>
      <c r="J225" s="329"/>
      <c r="K225" s="69"/>
    </row>
    <row r="226" spans="1:11" s="16" customFormat="1" ht="49.35" customHeight="1">
      <c r="A226" s="159" t="s">
        <v>1428</v>
      </c>
      <c r="B226" s="159" t="s">
        <v>1401</v>
      </c>
      <c r="C226" s="337" t="s">
        <v>1429</v>
      </c>
      <c r="D226" s="317"/>
      <c r="E226" s="317"/>
      <c r="F226" s="405" t="s">
        <v>1430</v>
      </c>
      <c r="G226" s="406"/>
      <c r="H226" s="329" t="s">
        <v>1431</v>
      </c>
      <c r="I226" s="350"/>
      <c r="J226" s="350"/>
      <c r="K226" s="157"/>
    </row>
    <row r="227" spans="1:11" s="16" customFormat="1" ht="49.35" customHeight="1">
      <c r="A227" s="159" t="s">
        <v>1432</v>
      </c>
      <c r="B227" s="159" t="s">
        <v>1401</v>
      </c>
      <c r="C227" s="337" t="s">
        <v>1429</v>
      </c>
      <c r="D227" s="317"/>
      <c r="E227" s="317"/>
      <c r="F227" s="405" t="s">
        <v>1433</v>
      </c>
      <c r="G227" s="406"/>
      <c r="H227" s="329" t="s">
        <v>1269</v>
      </c>
      <c r="I227" s="350"/>
      <c r="J227" s="350"/>
      <c r="K227" s="157"/>
    </row>
    <row r="228" spans="1:11" s="16" customFormat="1" ht="49.35" customHeight="1">
      <c r="A228" s="159" t="s">
        <v>1434</v>
      </c>
      <c r="B228" s="159" t="s">
        <v>1401</v>
      </c>
      <c r="C228" s="337" t="s">
        <v>1429</v>
      </c>
      <c r="D228" s="317"/>
      <c r="E228" s="317"/>
      <c r="F228" s="405" t="s">
        <v>1435</v>
      </c>
      <c r="G228" s="406"/>
      <c r="H228" s="329" t="s">
        <v>1436</v>
      </c>
      <c r="I228" s="350"/>
      <c r="J228" s="350"/>
      <c r="K228" s="157"/>
    </row>
    <row r="229" spans="1:11" s="16" customFormat="1" ht="49.35" customHeight="1">
      <c r="A229" s="159" t="s">
        <v>1395</v>
      </c>
      <c r="B229" s="159" t="s">
        <v>1401</v>
      </c>
      <c r="C229" s="337" t="s">
        <v>1437</v>
      </c>
      <c r="D229" s="317"/>
      <c r="E229" s="317"/>
      <c r="F229" s="405" t="s">
        <v>1438</v>
      </c>
      <c r="G229" s="406"/>
      <c r="H229" s="329" t="s">
        <v>1439</v>
      </c>
      <c r="I229" s="350"/>
      <c r="J229" s="350"/>
      <c r="K229" s="157"/>
    </row>
    <row r="230" spans="1:11" s="16" customFormat="1" ht="49.35" customHeight="1">
      <c r="A230" s="159" t="s">
        <v>1440</v>
      </c>
      <c r="B230" s="159" t="s">
        <v>1401</v>
      </c>
      <c r="C230" s="337" t="s">
        <v>1429</v>
      </c>
      <c r="D230" s="317"/>
      <c r="E230" s="317"/>
      <c r="F230" s="405" t="s">
        <v>1441</v>
      </c>
      <c r="G230" s="406"/>
      <c r="H230" s="329" t="s">
        <v>1442</v>
      </c>
      <c r="I230" s="350"/>
      <c r="J230" s="350"/>
      <c r="K230" s="157"/>
    </row>
    <row r="231" spans="1:11" s="16" customFormat="1" ht="49.35" customHeight="1">
      <c r="A231" s="159" t="s">
        <v>1443</v>
      </c>
      <c r="B231" s="159" t="s">
        <v>1401</v>
      </c>
      <c r="C231" s="337" t="s">
        <v>1429</v>
      </c>
      <c r="D231" s="317"/>
      <c r="E231" s="317"/>
      <c r="F231" s="405" t="s">
        <v>1444</v>
      </c>
      <c r="G231" s="406"/>
      <c r="H231" s="329" t="s">
        <v>1445</v>
      </c>
      <c r="I231" s="350"/>
      <c r="J231" s="350"/>
      <c r="K231" s="157"/>
    </row>
    <row r="232" spans="1:11" s="16" customFormat="1" ht="49.35" customHeight="1">
      <c r="A232" s="159" t="s">
        <v>1195</v>
      </c>
      <c r="B232" s="159" t="s">
        <v>1446</v>
      </c>
      <c r="C232" s="337" t="s">
        <v>1447</v>
      </c>
      <c r="D232" s="317"/>
      <c r="E232" s="317"/>
      <c r="F232" s="405" t="s">
        <v>1448</v>
      </c>
      <c r="G232" s="406"/>
      <c r="H232" s="329" t="s">
        <v>1449</v>
      </c>
      <c r="I232" s="350"/>
      <c r="J232" s="350"/>
      <c r="K232" s="157"/>
    </row>
    <row r="233" spans="1:11" s="16" customFormat="1" ht="58.35" customHeight="1">
      <c r="A233" s="159" t="s">
        <v>1450</v>
      </c>
      <c r="B233" s="159" t="s">
        <v>1401</v>
      </c>
      <c r="C233" s="337" t="s">
        <v>1451</v>
      </c>
      <c r="D233" s="317"/>
      <c r="E233" s="317"/>
      <c r="F233" s="405" t="s">
        <v>1452</v>
      </c>
      <c r="G233" s="406"/>
      <c r="H233" s="329" t="s">
        <v>1442</v>
      </c>
      <c r="I233" s="350"/>
      <c r="J233" s="350"/>
      <c r="K233" s="157"/>
    </row>
    <row r="234" spans="1:11" s="16" customFormat="1" ht="49.35" customHeight="1">
      <c r="A234" s="159" t="s">
        <v>1453</v>
      </c>
      <c r="B234" s="159" t="s">
        <v>1401</v>
      </c>
      <c r="C234" s="337" t="s">
        <v>1454</v>
      </c>
      <c r="D234" s="317"/>
      <c r="E234" s="317"/>
      <c r="F234" s="405" t="s">
        <v>1455</v>
      </c>
      <c r="G234" s="406"/>
      <c r="H234" s="329" t="s">
        <v>1431</v>
      </c>
      <c r="I234" s="350"/>
      <c r="J234" s="350"/>
      <c r="K234" s="157"/>
    </row>
    <row r="235" spans="1:11" s="16" customFormat="1" ht="49.35" customHeight="1">
      <c r="A235" s="159" t="s">
        <v>1456</v>
      </c>
      <c r="B235" s="159" t="s">
        <v>1201</v>
      </c>
      <c r="C235" s="337" t="s">
        <v>1202</v>
      </c>
      <c r="D235" s="317"/>
      <c r="E235" s="317"/>
      <c r="F235" s="405" t="s">
        <v>1457</v>
      </c>
      <c r="G235" s="406"/>
      <c r="H235" s="329" t="s">
        <v>1458</v>
      </c>
      <c r="I235" s="350"/>
      <c r="J235" s="350"/>
      <c r="K235" s="157"/>
    </row>
    <row r="236" spans="1:11" s="25" customFormat="1" ht="105.6" customHeight="1">
      <c r="A236" s="159" t="s">
        <v>1459</v>
      </c>
      <c r="B236" s="159" t="s">
        <v>1401</v>
      </c>
      <c r="C236" s="337" t="s">
        <v>1460</v>
      </c>
      <c r="D236" s="317"/>
      <c r="E236" s="317"/>
      <c r="F236" s="405" t="s">
        <v>1461</v>
      </c>
      <c r="G236" s="406"/>
      <c r="H236" s="329" t="s">
        <v>1462</v>
      </c>
      <c r="I236" s="350"/>
      <c r="J236" s="350"/>
      <c r="K236" s="138"/>
    </row>
    <row r="237" spans="1:11" s="25" customFormat="1" ht="124.5" customHeight="1">
      <c r="A237" s="159" t="s">
        <v>1463</v>
      </c>
      <c r="B237" s="159" t="s">
        <v>1401</v>
      </c>
      <c r="C237" s="337" t="s">
        <v>1464</v>
      </c>
      <c r="D237" s="317"/>
      <c r="E237" s="317"/>
      <c r="F237" s="405" t="s">
        <v>1465</v>
      </c>
      <c r="G237" s="406"/>
      <c r="H237" s="329" t="s">
        <v>1466</v>
      </c>
      <c r="I237" s="350"/>
      <c r="J237" s="350"/>
      <c r="K237" s="138"/>
    </row>
    <row r="238" spans="1:11" s="25" customFormat="1" ht="124.5" customHeight="1">
      <c r="A238" s="159" t="s">
        <v>1467</v>
      </c>
      <c r="B238" s="159" t="s">
        <v>1401</v>
      </c>
      <c r="C238" s="337" t="s">
        <v>1464</v>
      </c>
      <c r="D238" s="317"/>
      <c r="E238" s="317"/>
      <c r="F238" s="405" t="s">
        <v>1468</v>
      </c>
      <c r="G238" s="406"/>
      <c r="H238" s="329" t="s">
        <v>1469</v>
      </c>
      <c r="I238" s="350"/>
      <c r="J238" s="350"/>
      <c r="K238" s="138"/>
    </row>
    <row r="239" spans="1:11" s="25" customFormat="1" ht="124.5" customHeight="1">
      <c r="A239" s="159" t="s">
        <v>1470</v>
      </c>
      <c r="B239" s="159" t="s">
        <v>1401</v>
      </c>
      <c r="C239" s="337" t="s">
        <v>1464</v>
      </c>
      <c r="D239" s="317"/>
      <c r="E239" s="317"/>
      <c r="F239" s="405" t="s">
        <v>1471</v>
      </c>
      <c r="G239" s="406"/>
      <c r="H239" s="329" t="s">
        <v>1472</v>
      </c>
      <c r="I239" s="350"/>
      <c r="J239" s="350"/>
      <c r="K239" s="138"/>
    </row>
    <row r="240" spans="1:11" s="25" customFormat="1" ht="60.6" customHeight="1">
      <c r="A240" s="159" t="s">
        <v>1473</v>
      </c>
      <c r="B240" s="159" t="s">
        <v>1401</v>
      </c>
      <c r="C240" s="337" t="s">
        <v>1474</v>
      </c>
      <c r="D240" s="317"/>
      <c r="E240" s="317"/>
      <c r="F240" s="405" t="s">
        <v>1475</v>
      </c>
      <c r="G240" s="406"/>
      <c r="H240" s="329" t="s">
        <v>1445</v>
      </c>
      <c r="I240" s="350"/>
      <c r="J240" s="350"/>
      <c r="K240" s="138"/>
    </row>
    <row r="241" spans="1:11" s="25" customFormat="1" ht="49.35" customHeight="1">
      <c r="A241" s="159" t="s">
        <v>1476</v>
      </c>
      <c r="B241" s="159" t="s">
        <v>1401</v>
      </c>
      <c r="C241" s="337" t="s">
        <v>1477</v>
      </c>
      <c r="D241" s="317"/>
      <c r="E241" s="317"/>
      <c r="F241" s="405" t="s">
        <v>1478</v>
      </c>
      <c r="G241" s="406"/>
      <c r="H241" s="329" t="s">
        <v>1479</v>
      </c>
      <c r="I241" s="350"/>
      <c r="J241" s="350"/>
      <c r="K241" s="138"/>
    </row>
    <row r="242" spans="1:11" s="16" customFormat="1" ht="49.35" customHeight="1">
      <c r="A242" s="159" t="s">
        <v>1210</v>
      </c>
      <c r="B242" s="159" t="s">
        <v>1201</v>
      </c>
      <c r="C242" s="337" t="s">
        <v>1202</v>
      </c>
      <c r="D242" s="317"/>
      <c r="E242" s="317"/>
      <c r="F242" s="405" t="s">
        <v>1480</v>
      </c>
      <c r="G242" s="406"/>
      <c r="H242" s="329" t="s">
        <v>1481</v>
      </c>
      <c r="I242" s="350"/>
      <c r="J242" s="350"/>
      <c r="K242" s="157"/>
    </row>
    <row r="243" spans="1:11" ht="7.35" customHeight="1">
      <c r="A243" s="129"/>
      <c r="B243" s="128"/>
      <c r="C243" s="128"/>
      <c r="D243" s="128"/>
      <c r="E243" s="128"/>
      <c r="F243" s="128"/>
      <c r="G243" s="128"/>
      <c r="H243" s="128"/>
      <c r="I243" s="128"/>
      <c r="J243" s="128"/>
      <c r="K243" s="156"/>
    </row>
    <row r="244" spans="1:11" ht="20.25" customHeight="1">
      <c r="A244" s="352" t="s">
        <v>1482</v>
      </c>
      <c r="B244" s="353"/>
      <c r="C244" s="353"/>
      <c r="D244" s="353"/>
      <c r="E244" s="353"/>
      <c r="F244" s="353"/>
      <c r="G244" s="353"/>
      <c r="H244" s="353"/>
      <c r="I244" s="353"/>
      <c r="J244" s="353"/>
      <c r="K244" s="353"/>
    </row>
    <row r="245" spans="1:11" ht="31.2">
      <c r="A245" s="131" t="s">
        <v>1016</v>
      </c>
      <c r="B245" s="131" t="s">
        <v>1017</v>
      </c>
      <c r="C245" s="354" t="s">
        <v>1018</v>
      </c>
      <c r="D245" s="335"/>
      <c r="E245" s="335"/>
      <c r="F245" s="354" t="s">
        <v>1019</v>
      </c>
      <c r="G245" s="335"/>
      <c r="H245" s="354" t="s">
        <v>1020</v>
      </c>
      <c r="I245" s="335"/>
      <c r="J245" s="335"/>
      <c r="K245" s="131" t="s">
        <v>1028</v>
      </c>
    </row>
    <row r="246" spans="1:11" ht="89.25" customHeight="1">
      <c r="A246" s="159" t="s">
        <v>1483</v>
      </c>
      <c r="B246" s="159" t="s">
        <v>1023</v>
      </c>
      <c r="C246" s="337" t="s">
        <v>1391</v>
      </c>
      <c r="D246" s="248"/>
      <c r="E246" s="248"/>
      <c r="F246" s="404" t="s">
        <v>1025</v>
      </c>
      <c r="G246" s="333"/>
      <c r="H246" s="329" t="s">
        <v>1425</v>
      </c>
      <c r="I246" s="338"/>
      <c r="J246" s="338"/>
      <c r="K246" s="69"/>
    </row>
    <row r="247" spans="1:11" ht="200.1" customHeight="1">
      <c r="A247" s="159" t="s">
        <v>1484</v>
      </c>
      <c r="B247" s="159" t="s">
        <v>1055</v>
      </c>
      <c r="C247" s="337" t="s">
        <v>1056</v>
      </c>
      <c r="D247" s="248"/>
      <c r="E247" s="248"/>
      <c r="F247" s="404" t="s">
        <v>1025</v>
      </c>
      <c r="G247" s="333"/>
      <c r="H247" s="329" t="s">
        <v>1485</v>
      </c>
      <c r="I247" s="338"/>
      <c r="J247" s="338"/>
      <c r="K247" s="69"/>
    </row>
    <row r="248" spans="1:11" s="16" customFormat="1" ht="49.35" customHeight="1">
      <c r="A248" s="159" t="s">
        <v>1428</v>
      </c>
      <c r="B248" s="159" t="s">
        <v>1401</v>
      </c>
      <c r="C248" s="337" t="s">
        <v>1429</v>
      </c>
      <c r="D248" s="317"/>
      <c r="E248" s="317"/>
      <c r="F248" s="405" t="s">
        <v>1486</v>
      </c>
      <c r="G248" s="406"/>
      <c r="H248" s="329" t="s">
        <v>1487</v>
      </c>
      <c r="I248" s="350"/>
      <c r="J248" s="350"/>
      <c r="K248" s="157"/>
    </row>
    <row r="249" spans="1:11" s="16" customFormat="1" ht="49.35" customHeight="1">
      <c r="A249" s="159" t="s">
        <v>1432</v>
      </c>
      <c r="B249" s="159" t="s">
        <v>1401</v>
      </c>
      <c r="C249" s="337" t="s">
        <v>1429</v>
      </c>
      <c r="D249" s="317"/>
      <c r="E249" s="317"/>
      <c r="F249" s="405" t="s">
        <v>1488</v>
      </c>
      <c r="G249" s="406"/>
      <c r="H249" s="329" t="s">
        <v>1269</v>
      </c>
      <c r="I249" s="350"/>
      <c r="J249" s="350"/>
      <c r="K249" s="157"/>
    </row>
    <row r="250" spans="1:11" s="16" customFormat="1" ht="49.35" customHeight="1">
      <c r="A250" s="159" t="s">
        <v>1434</v>
      </c>
      <c r="B250" s="159" t="s">
        <v>1401</v>
      </c>
      <c r="C250" s="337" t="s">
        <v>1429</v>
      </c>
      <c r="D250" s="317"/>
      <c r="E250" s="317"/>
      <c r="F250" s="405" t="s">
        <v>1433</v>
      </c>
      <c r="G250" s="406"/>
      <c r="H250" s="329" t="s">
        <v>1489</v>
      </c>
      <c r="I250" s="350"/>
      <c r="J250" s="350"/>
      <c r="K250" s="157"/>
    </row>
    <row r="251" spans="1:11" s="16" customFormat="1" ht="49.35" customHeight="1">
      <c r="A251" s="159" t="s">
        <v>1395</v>
      </c>
      <c r="B251" s="159" t="s">
        <v>1401</v>
      </c>
      <c r="C251" s="337" t="s">
        <v>1490</v>
      </c>
      <c r="D251" s="317"/>
      <c r="E251" s="317"/>
      <c r="F251" s="405" t="s">
        <v>1491</v>
      </c>
      <c r="G251" s="406"/>
      <c r="H251" s="329" t="s">
        <v>1492</v>
      </c>
      <c r="I251" s="350"/>
      <c r="J251" s="350"/>
      <c r="K251" s="157"/>
    </row>
    <row r="252" spans="1:11" s="16" customFormat="1" ht="49.35" customHeight="1">
      <c r="A252" s="159" t="s">
        <v>1440</v>
      </c>
      <c r="B252" s="159" t="s">
        <v>1401</v>
      </c>
      <c r="C252" s="337" t="s">
        <v>1429</v>
      </c>
      <c r="D252" s="317"/>
      <c r="E252" s="317"/>
      <c r="F252" s="405" t="s">
        <v>1430</v>
      </c>
      <c r="G252" s="406"/>
      <c r="H252" s="329" t="s">
        <v>1493</v>
      </c>
      <c r="I252" s="350"/>
      <c r="J252" s="350"/>
      <c r="K252" s="157"/>
    </row>
    <row r="253" spans="1:11" s="16" customFormat="1" ht="49.35" customHeight="1">
      <c r="A253" s="159" t="s">
        <v>1354</v>
      </c>
      <c r="B253" s="159" t="s">
        <v>1401</v>
      </c>
      <c r="C253" s="337" t="s">
        <v>1429</v>
      </c>
      <c r="D253" s="317"/>
      <c r="E253" s="317"/>
      <c r="F253" s="405" t="s">
        <v>1494</v>
      </c>
      <c r="G253" s="406"/>
      <c r="H253" s="329" t="s">
        <v>1495</v>
      </c>
      <c r="I253" s="350"/>
      <c r="J253" s="350"/>
      <c r="K253" s="157"/>
    </row>
    <row r="254" spans="1:11" s="16" customFormat="1" ht="49.35" customHeight="1">
      <c r="A254" s="159" t="s">
        <v>1198</v>
      </c>
      <c r="B254" s="159" t="s">
        <v>1446</v>
      </c>
      <c r="C254" s="337" t="s">
        <v>1447</v>
      </c>
      <c r="D254" s="317"/>
      <c r="E254" s="317"/>
      <c r="F254" s="405" t="s">
        <v>1496</v>
      </c>
      <c r="G254" s="406"/>
      <c r="H254" s="329" t="s">
        <v>1449</v>
      </c>
      <c r="I254" s="350"/>
      <c r="J254" s="350"/>
      <c r="K254" s="157"/>
    </row>
    <row r="255" spans="1:11" s="16" customFormat="1" ht="58.35" customHeight="1">
      <c r="A255" s="159" t="s">
        <v>1453</v>
      </c>
      <c r="B255" s="159" t="s">
        <v>1401</v>
      </c>
      <c r="C255" s="337" t="s">
        <v>1497</v>
      </c>
      <c r="D255" s="317"/>
      <c r="E255" s="317"/>
      <c r="F255" s="405" t="s">
        <v>1498</v>
      </c>
      <c r="G255" s="406"/>
      <c r="H255" s="329" t="s">
        <v>1493</v>
      </c>
      <c r="I255" s="350"/>
      <c r="J255" s="350"/>
      <c r="K255" s="157"/>
    </row>
    <row r="256" spans="1:11" s="16" customFormat="1" ht="49.35" customHeight="1">
      <c r="A256" s="159" t="s">
        <v>1456</v>
      </c>
      <c r="B256" s="159" t="s">
        <v>1401</v>
      </c>
      <c r="C256" s="337" t="s">
        <v>1499</v>
      </c>
      <c r="D256" s="317"/>
      <c r="E256" s="317"/>
      <c r="F256" s="405" t="s">
        <v>1500</v>
      </c>
      <c r="G256" s="406"/>
      <c r="H256" s="329" t="s">
        <v>1487</v>
      </c>
      <c r="I256" s="350"/>
      <c r="J256" s="350"/>
      <c r="K256" s="157"/>
    </row>
    <row r="257" spans="1:11" s="16" customFormat="1" ht="49.35" customHeight="1">
      <c r="A257" s="159" t="s">
        <v>1501</v>
      </c>
      <c r="B257" s="159" t="s">
        <v>1201</v>
      </c>
      <c r="C257" s="337" t="s">
        <v>1202</v>
      </c>
      <c r="D257" s="317"/>
      <c r="E257" s="317"/>
      <c r="F257" s="405" t="s">
        <v>1502</v>
      </c>
      <c r="G257" s="406"/>
      <c r="H257" s="329" t="s">
        <v>1503</v>
      </c>
      <c r="I257" s="350"/>
      <c r="J257" s="350"/>
      <c r="K257" s="157"/>
    </row>
    <row r="258" spans="1:11" s="25" customFormat="1" ht="105.6" customHeight="1">
      <c r="A258" s="159" t="s">
        <v>1470</v>
      </c>
      <c r="B258" s="159" t="s">
        <v>1401</v>
      </c>
      <c r="C258" s="337" t="s">
        <v>1504</v>
      </c>
      <c r="D258" s="317"/>
      <c r="E258" s="317"/>
      <c r="F258" s="405" t="s">
        <v>1505</v>
      </c>
      <c r="G258" s="406"/>
      <c r="H258" s="329" t="s">
        <v>1506</v>
      </c>
      <c r="I258" s="350"/>
      <c r="J258" s="350"/>
      <c r="K258" s="138"/>
    </row>
    <row r="259" spans="1:11" s="25" customFormat="1" ht="124.5" customHeight="1">
      <c r="A259" s="159" t="s">
        <v>1473</v>
      </c>
      <c r="B259" s="159" t="s">
        <v>1401</v>
      </c>
      <c r="C259" s="337" t="s">
        <v>1507</v>
      </c>
      <c r="D259" s="317"/>
      <c r="E259" s="317"/>
      <c r="F259" s="405" t="s">
        <v>1508</v>
      </c>
      <c r="G259" s="406"/>
      <c r="H259" s="329" t="s">
        <v>1509</v>
      </c>
      <c r="I259" s="350"/>
      <c r="J259" s="350"/>
      <c r="K259" s="138"/>
    </row>
    <row r="260" spans="1:11" s="25" customFormat="1" ht="124.5" customHeight="1">
      <c r="A260" s="159" t="s">
        <v>1476</v>
      </c>
      <c r="B260" s="159" t="s">
        <v>1401</v>
      </c>
      <c r="C260" s="337" t="s">
        <v>1507</v>
      </c>
      <c r="D260" s="317"/>
      <c r="E260" s="317"/>
      <c r="F260" s="405" t="s">
        <v>1510</v>
      </c>
      <c r="G260" s="406"/>
      <c r="H260" s="329" t="s">
        <v>1511</v>
      </c>
      <c r="I260" s="350"/>
      <c r="J260" s="350"/>
      <c r="K260" s="138"/>
    </row>
    <row r="261" spans="1:11" s="25" customFormat="1" ht="124.5" customHeight="1">
      <c r="A261" s="159" t="s">
        <v>1210</v>
      </c>
      <c r="B261" s="159" t="s">
        <v>1401</v>
      </c>
      <c r="C261" s="337" t="s">
        <v>1507</v>
      </c>
      <c r="D261" s="317"/>
      <c r="E261" s="317"/>
      <c r="F261" s="405" t="s">
        <v>1512</v>
      </c>
      <c r="G261" s="406"/>
      <c r="H261" s="329" t="s">
        <v>1513</v>
      </c>
      <c r="I261" s="350"/>
      <c r="J261" s="350"/>
      <c r="K261" s="138"/>
    </row>
    <row r="262" spans="1:11" s="25" customFormat="1" ht="60.6" customHeight="1">
      <c r="A262" s="159" t="s">
        <v>1212</v>
      </c>
      <c r="B262" s="159" t="s">
        <v>1401</v>
      </c>
      <c r="C262" s="337" t="s">
        <v>1514</v>
      </c>
      <c r="D262" s="317"/>
      <c r="E262" s="317"/>
      <c r="F262" s="405" t="s">
        <v>1515</v>
      </c>
      <c r="G262" s="406"/>
      <c r="H262" s="329" t="s">
        <v>1495</v>
      </c>
      <c r="I262" s="350"/>
      <c r="J262" s="350"/>
      <c r="K262" s="138"/>
    </row>
    <row r="263" spans="1:11" s="25" customFormat="1" ht="49.35" customHeight="1">
      <c r="A263" s="159" t="s">
        <v>1216</v>
      </c>
      <c r="B263" s="159" t="s">
        <v>1401</v>
      </c>
      <c r="C263" s="337" t="s">
        <v>1516</v>
      </c>
      <c r="D263" s="317"/>
      <c r="E263" s="317"/>
      <c r="F263" s="405" t="s">
        <v>1517</v>
      </c>
      <c r="G263" s="406"/>
      <c r="H263" s="329" t="s">
        <v>1518</v>
      </c>
      <c r="I263" s="350"/>
      <c r="J263" s="350"/>
      <c r="K263" s="138"/>
    </row>
    <row r="264" spans="1:11" s="16" customFormat="1" ht="49.35" customHeight="1">
      <c r="A264" s="159" t="s">
        <v>1519</v>
      </c>
      <c r="B264" s="159" t="s">
        <v>1201</v>
      </c>
      <c r="C264" s="337" t="s">
        <v>1202</v>
      </c>
      <c r="D264" s="317"/>
      <c r="E264" s="317"/>
      <c r="F264" s="405" t="s">
        <v>1520</v>
      </c>
      <c r="G264" s="406"/>
      <c r="H264" s="329" t="s">
        <v>1521</v>
      </c>
      <c r="I264" s="350"/>
      <c r="J264" s="350"/>
      <c r="K264" s="157"/>
    </row>
    <row r="265" spans="1:11" ht="7.35" customHeight="1">
      <c r="A265" s="129"/>
      <c r="B265" s="128"/>
      <c r="C265" s="128"/>
      <c r="D265" s="128"/>
      <c r="E265" s="128"/>
      <c r="F265" s="128"/>
      <c r="G265" s="128"/>
      <c r="H265" s="128"/>
      <c r="I265" s="128"/>
      <c r="J265" s="128"/>
      <c r="K265" s="156"/>
    </row>
    <row r="266" spans="1:11" ht="20.25" customHeight="1">
      <c r="A266" s="352" t="s">
        <v>1522</v>
      </c>
      <c r="B266" s="353"/>
      <c r="C266" s="353"/>
      <c r="D266" s="353"/>
      <c r="E266" s="353"/>
      <c r="F266" s="353"/>
      <c r="G266" s="353"/>
      <c r="H266" s="353"/>
      <c r="I266" s="353"/>
      <c r="J266" s="353"/>
      <c r="K266" s="353"/>
    </row>
    <row r="267" spans="1:11" ht="31.2">
      <c r="A267" s="131" t="s">
        <v>1016</v>
      </c>
      <c r="B267" s="131" t="s">
        <v>1017</v>
      </c>
      <c r="C267" s="354" t="s">
        <v>1018</v>
      </c>
      <c r="D267" s="335"/>
      <c r="E267" s="335"/>
      <c r="F267" s="354" t="s">
        <v>1019</v>
      </c>
      <c r="G267" s="335"/>
      <c r="H267" s="354" t="s">
        <v>1020</v>
      </c>
      <c r="I267" s="335"/>
      <c r="J267" s="335"/>
      <c r="K267" s="131" t="s">
        <v>1028</v>
      </c>
    </row>
    <row r="268" spans="1:11" ht="89.25" customHeight="1">
      <c r="A268" s="159" t="s">
        <v>1523</v>
      </c>
      <c r="B268" s="159" t="s">
        <v>1023</v>
      </c>
      <c r="C268" s="337" t="s">
        <v>1391</v>
      </c>
      <c r="D268" s="248"/>
      <c r="E268" s="248"/>
      <c r="F268" s="404" t="s">
        <v>1025</v>
      </c>
      <c r="G268" s="333"/>
      <c r="H268" s="329" t="s">
        <v>1524</v>
      </c>
      <c r="I268" s="338"/>
      <c r="J268" s="338"/>
      <c r="K268" s="69"/>
    </row>
    <row r="269" spans="1:11" ht="200.1" customHeight="1">
      <c r="A269" s="159" t="s">
        <v>1525</v>
      </c>
      <c r="B269" s="159" t="s">
        <v>1055</v>
      </c>
      <c r="C269" s="337" t="s">
        <v>1056</v>
      </c>
      <c r="D269" s="248"/>
      <c r="E269" s="248"/>
      <c r="F269" s="404" t="s">
        <v>1025</v>
      </c>
      <c r="G269" s="333"/>
      <c r="H269" s="329" t="s">
        <v>1526</v>
      </c>
      <c r="I269" s="338"/>
      <c r="J269" s="338"/>
      <c r="K269" s="69"/>
    </row>
    <row r="270" spans="1:11" s="16" customFormat="1" ht="49.35" customHeight="1">
      <c r="A270" s="159" t="s">
        <v>1428</v>
      </c>
      <c r="B270" s="159" t="s">
        <v>1401</v>
      </c>
      <c r="C270" s="337" t="s">
        <v>1429</v>
      </c>
      <c r="D270" s="317"/>
      <c r="E270" s="317"/>
      <c r="F270" s="405" t="s">
        <v>1527</v>
      </c>
      <c r="G270" s="406"/>
      <c r="H270" s="329" t="s">
        <v>1487</v>
      </c>
      <c r="I270" s="350"/>
      <c r="J270" s="350"/>
      <c r="K270" s="157"/>
    </row>
    <row r="271" spans="1:11" s="16" customFormat="1" ht="49.35" customHeight="1">
      <c r="A271" s="159" t="s">
        <v>1432</v>
      </c>
      <c r="B271" s="159" t="s">
        <v>1401</v>
      </c>
      <c r="C271" s="337" t="s">
        <v>1429</v>
      </c>
      <c r="D271" s="317"/>
      <c r="E271" s="317"/>
      <c r="F271" s="405" t="s">
        <v>1528</v>
      </c>
      <c r="G271" s="406"/>
      <c r="H271" s="329" t="s">
        <v>1529</v>
      </c>
      <c r="I271" s="350"/>
      <c r="J271" s="350"/>
      <c r="K271" s="157"/>
    </row>
    <row r="272" spans="1:11" s="16" customFormat="1" ht="49.35" customHeight="1">
      <c r="A272" s="159" t="s">
        <v>1434</v>
      </c>
      <c r="B272" s="159" t="s">
        <v>1401</v>
      </c>
      <c r="C272" s="337" t="s">
        <v>1429</v>
      </c>
      <c r="D272" s="317"/>
      <c r="E272" s="317"/>
      <c r="F272" s="405" t="s">
        <v>1530</v>
      </c>
      <c r="G272" s="406"/>
      <c r="H272" s="329" t="s">
        <v>1531</v>
      </c>
      <c r="I272" s="350"/>
      <c r="J272" s="350"/>
      <c r="K272" s="157"/>
    </row>
    <row r="273" spans="1:11" s="16" customFormat="1" ht="49.35" customHeight="1">
      <c r="A273" s="159" t="s">
        <v>115</v>
      </c>
      <c r="B273" s="159" t="s">
        <v>1446</v>
      </c>
      <c r="C273" s="337" t="s">
        <v>1447</v>
      </c>
      <c r="D273" s="317"/>
      <c r="E273" s="317"/>
      <c r="F273" s="405" t="s">
        <v>1532</v>
      </c>
      <c r="G273" s="406"/>
      <c r="H273" s="329" t="s">
        <v>1449</v>
      </c>
      <c r="I273" s="350"/>
      <c r="J273" s="350"/>
      <c r="K273" s="157"/>
    </row>
    <row r="274" spans="1:11" s="16" customFormat="1" ht="58.35" customHeight="1">
      <c r="A274" s="159" t="s">
        <v>1533</v>
      </c>
      <c r="B274" s="159" t="s">
        <v>1401</v>
      </c>
      <c r="C274" s="337" t="s">
        <v>1534</v>
      </c>
      <c r="D274" s="317"/>
      <c r="E274" s="317"/>
      <c r="F274" s="405" t="s">
        <v>1535</v>
      </c>
      <c r="G274" s="406"/>
      <c r="H274" s="329" t="s">
        <v>1493</v>
      </c>
      <c r="I274" s="350"/>
      <c r="J274" s="350"/>
      <c r="K274" s="157"/>
    </row>
    <row r="275" spans="1:11" s="16" customFormat="1" ht="49.35" customHeight="1">
      <c r="A275" s="159" t="s">
        <v>1191</v>
      </c>
      <c r="B275" s="159" t="s">
        <v>1401</v>
      </c>
      <c r="C275" s="337" t="s">
        <v>1536</v>
      </c>
      <c r="D275" s="317"/>
      <c r="E275" s="317"/>
      <c r="F275" s="405" t="s">
        <v>1537</v>
      </c>
      <c r="G275" s="406"/>
      <c r="H275" s="329" t="s">
        <v>1487</v>
      </c>
      <c r="I275" s="350"/>
      <c r="J275" s="350"/>
      <c r="K275" s="157"/>
    </row>
    <row r="276" spans="1:11" s="16" customFormat="1" ht="49.35" customHeight="1">
      <c r="A276" s="159" t="s">
        <v>1195</v>
      </c>
      <c r="B276" s="159" t="s">
        <v>1201</v>
      </c>
      <c r="C276" s="337" t="s">
        <v>1202</v>
      </c>
      <c r="D276" s="317"/>
      <c r="E276" s="317"/>
      <c r="F276" s="405" t="s">
        <v>1538</v>
      </c>
      <c r="G276" s="406"/>
      <c r="H276" s="329" t="s">
        <v>1539</v>
      </c>
      <c r="I276" s="350"/>
      <c r="J276" s="350"/>
      <c r="K276" s="157"/>
    </row>
    <row r="277" spans="1:11" s="25" customFormat="1" ht="105.6" customHeight="1">
      <c r="A277" s="159" t="s">
        <v>1540</v>
      </c>
      <c r="B277" s="159" t="s">
        <v>1401</v>
      </c>
      <c r="C277" s="337" t="s">
        <v>1541</v>
      </c>
      <c r="D277" s="317"/>
      <c r="E277" s="317"/>
      <c r="F277" s="405" t="s">
        <v>1542</v>
      </c>
      <c r="G277" s="406"/>
      <c r="H277" s="329" t="s">
        <v>1543</v>
      </c>
      <c r="I277" s="350"/>
      <c r="J277" s="350"/>
      <c r="K277" s="138"/>
    </row>
    <row r="278" spans="1:11" s="25" customFormat="1" ht="124.5" customHeight="1">
      <c r="A278" s="159" t="s">
        <v>1544</v>
      </c>
      <c r="B278" s="159" t="s">
        <v>1401</v>
      </c>
      <c r="C278" s="337" t="s">
        <v>1545</v>
      </c>
      <c r="D278" s="317"/>
      <c r="E278" s="317"/>
      <c r="F278" s="405" t="s">
        <v>1546</v>
      </c>
      <c r="G278" s="406"/>
      <c r="H278" s="329" t="s">
        <v>1547</v>
      </c>
      <c r="I278" s="350"/>
      <c r="J278" s="350"/>
      <c r="K278" s="138"/>
    </row>
    <row r="279" spans="1:11" s="25" customFormat="1" ht="124.5" customHeight="1">
      <c r="A279" s="159" t="s">
        <v>1548</v>
      </c>
      <c r="B279" s="159" t="s">
        <v>1401</v>
      </c>
      <c r="C279" s="337" t="s">
        <v>1545</v>
      </c>
      <c r="D279" s="317"/>
      <c r="E279" s="317"/>
      <c r="F279" s="405" t="s">
        <v>1549</v>
      </c>
      <c r="G279" s="406"/>
      <c r="H279" s="329" t="s">
        <v>1550</v>
      </c>
      <c r="I279" s="350"/>
      <c r="J279" s="350"/>
      <c r="K279" s="138"/>
    </row>
    <row r="280" spans="1:11" s="25" customFormat="1" ht="124.5" customHeight="1">
      <c r="A280" s="159" t="s">
        <v>1551</v>
      </c>
      <c r="B280" s="159" t="s">
        <v>1401</v>
      </c>
      <c r="C280" s="337" t="s">
        <v>1545</v>
      </c>
      <c r="D280" s="317"/>
      <c r="E280" s="317"/>
      <c r="F280" s="405" t="s">
        <v>1552</v>
      </c>
      <c r="G280" s="406"/>
      <c r="H280" s="329" t="s">
        <v>1553</v>
      </c>
      <c r="I280" s="350"/>
      <c r="J280" s="350"/>
      <c r="K280" s="138"/>
    </row>
    <row r="281" spans="1:11" s="25" customFormat="1" ht="60.6" customHeight="1">
      <c r="A281" s="159" t="s">
        <v>1554</v>
      </c>
      <c r="B281" s="159" t="s">
        <v>1401</v>
      </c>
      <c r="C281" s="337" t="s">
        <v>1555</v>
      </c>
      <c r="D281" s="317"/>
      <c r="E281" s="317"/>
      <c r="F281" s="405" t="s">
        <v>1556</v>
      </c>
      <c r="G281" s="406"/>
      <c r="H281" s="329" t="s">
        <v>1531</v>
      </c>
      <c r="I281" s="350"/>
      <c r="J281" s="350"/>
      <c r="K281" s="138"/>
    </row>
    <row r="282" spans="1:11" s="25" customFormat="1" ht="49.35" customHeight="1">
      <c r="A282" s="159" t="s">
        <v>1557</v>
      </c>
      <c r="B282" s="159" t="s">
        <v>1401</v>
      </c>
      <c r="C282" s="337" t="s">
        <v>1558</v>
      </c>
      <c r="D282" s="317"/>
      <c r="E282" s="317"/>
      <c r="F282" s="405" t="s">
        <v>1559</v>
      </c>
      <c r="G282" s="406"/>
      <c r="H282" s="329" t="s">
        <v>1560</v>
      </c>
      <c r="I282" s="350"/>
      <c r="J282" s="350"/>
      <c r="K282" s="138"/>
    </row>
    <row r="283" spans="1:11" s="16" customFormat="1" ht="49.35" customHeight="1">
      <c r="A283" s="159" t="s">
        <v>1561</v>
      </c>
      <c r="B283" s="159" t="s">
        <v>1201</v>
      </c>
      <c r="C283" s="337" t="s">
        <v>1202</v>
      </c>
      <c r="D283" s="317"/>
      <c r="E283" s="317"/>
      <c r="F283" s="405" t="s">
        <v>1562</v>
      </c>
      <c r="G283" s="406"/>
      <c r="H283" s="329" t="s">
        <v>1563</v>
      </c>
      <c r="I283" s="350"/>
      <c r="J283" s="350"/>
      <c r="K283" s="157"/>
    </row>
    <row r="284" spans="1:11" ht="7.35" customHeight="1">
      <c r="A284" s="150"/>
      <c r="B284" s="151"/>
      <c r="C284" s="151"/>
      <c r="D284" s="151"/>
      <c r="E284" s="151"/>
      <c r="F284" s="151"/>
      <c r="G284" s="151"/>
      <c r="H284" s="151"/>
      <c r="I284" s="151"/>
      <c r="J284" s="151"/>
      <c r="K284" s="152"/>
    </row>
    <row r="285" spans="1:11" ht="21">
      <c r="A285" s="352" t="s">
        <v>1564</v>
      </c>
      <c r="B285" s="353"/>
      <c r="C285" s="353"/>
      <c r="D285" s="353"/>
      <c r="E285" s="353"/>
      <c r="F285" s="353"/>
      <c r="G285" s="353"/>
      <c r="H285" s="353"/>
      <c r="I285" s="353"/>
      <c r="J285" s="353"/>
      <c r="K285" s="353"/>
    </row>
    <row r="286" spans="1:11" ht="31.2">
      <c r="A286" s="131" t="s">
        <v>1016</v>
      </c>
      <c r="B286" s="131" t="s">
        <v>1017</v>
      </c>
      <c r="C286" s="354" t="s">
        <v>1018</v>
      </c>
      <c r="D286" s="248"/>
      <c r="E286" s="248"/>
      <c r="F286" s="354" t="s">
        <v>1019</v>
      </c>
      <c r="G286" s="335"/>
      <c r="H286" s="355" t="s">
        <v>1020</v>
      </c>
      <c r="I286" s="356"/>
      <c r="J286" s="356"/>
      <c r="K286" s="131" t="s">
        <v>1021</v>
      </c>
    </row>
    <row r="287" spans="1:11" ht="93" customHeight="1">
      <c r="A287" s="130" t="s">
        <v>1022</v>
      </c>
      <c r="B287" s="159" t="s">
        <v>1023</v>
      </c>
      <c r="C287" s="337" t="s">
        <v>1024</v>
      </c>
      <c r="D287" s="248"/>
      <c r="E287" s="248"/>
      <c r="F287" s="336" t="s">
        <v>1025</v>
      </c>
      <c r="G287" s="335"/>
      <c r="H287" s="329" t="s">
        <v>1041</v>
      </c>
      <c r="I287" s="338"/>
      <c r="J287" s="338"/>
      <c r="K287" s="69"/>
    </row>
    <row r="288" spans="1:11" ht="7.35" customHeight="1">
      <c r="A288" s="129"/>
      <c r="B288" s="128"/>
      <c r="C288" s="128"/>
      <c r="D288" s="128"/>
      <c r="E288" s="128"/>
      <c r="F288" s="128"/>
      <c r="G288" s="128"/>
      <c r="H288" s="128"/>
      <c r="I288" s="128"/>
      <c r="J288" s="128"/>
      <c r="K288" s="156"/>
    </row>
    <row r="289" spans="1:11" ht="21">
      <c r="A289" s="352" t="s">
        <v>1565</v>
      </c>
      <c r="B289" s="353"/>
      <c r="C289" s="353"/>
      <c r="D289" s="353"/>
      <c r="E289" s="353"/>
      <c r="F289" s="353"/>
      <c r="G289" s="353"/>
      <c r="H289" s="353"/>
      <c r="I289" s="353"/>
      <c r="J289" s="353"/>
      <c r="K289" s="353"/>
    </row>
    <row r="290" spans="1:11" ht="31.2">
      <c r="A290" s="131" t="s">
        <v>1016</v>
      </c>
      <c r="B290" s="131" t="s">
        <v>1017</v>
      </c>
      <c r="C290" s="354" t="s">
        <v>1018</v>
      </c>
      <c r="D290" s="248"/>
      <c r="E290" s="248"/>
      <c r="F290" s="354" t="s">
        <v>1019</v>
      </c>
      <c r="G290" s="335"/>
      <c r="H290" s="355" t="s">
        <v>1020</v>
      </c>
      <c r="I290" s="356"/>
      <c r="J290" s="356"/>
      <c r="K290" s="131" t="s">
        <v>1021</v>
      </c>
    </row>
    <row r="291" spans="1:11" ht="93" customHeight="1">
      <c r="A291" s="130" t="s">
        <v>1022</v>
      </c>
      <c r="B291" s="159" t="s">
        <v>1023</v>
      </c>
      <c r="C291" s="337" t="s">
        <v>1024</v>
      </c>
      <c r="D291" s="248"/>
      <c r="E291" s="248"/>
      <c r="F291" s="336" t="s">
        <v>1025</v>
      </c>
      <c r="G291" s="335"/>
      <c r="H291" s="329" t="s">
        <v>1566</v>
      </c>
      <c r="I291" s="338"/>
      <c r="J291" s="338"/>
      <c r="K291" s="69"/>
    </row>
    <row r="292" spans="1:11" ht="7.35" customHeight="1">
      <c r="A292" s="129"/>
      <c r="B292" s="128"/>
      <c r="C292" s="128"/>
      <c r="D292" s="128"/>
      <c r="E292" s="128"/>
      <c r="F292" s="128"/>
      <c r="G292" s="128"/>
      <c r="H292" s="128"/>
      <c r="I292" s="128"/>
      <c r="J292" s="128"/>
      <c r="K292" s="156"/>
    </row>
    <row r="293" spans="1:11" ht="20.25" customHeight="1">
      <c r="A293" s="374" t="s">
        <v>1567</v>
      </c>
      <c r="B293" s="354"/>
      <c r="C293" s="354"/>
      <c r="D293" s="354"/>
      <c r="E293" s="354"/>
      <c r="F293" s="354"/>
      <c r="G293" s="354"/>
      <c r="H293" s="354"/>
      <c r="I293" s="354"/>
      <c r="J293" s="354"/>
      <c r="K293" s="354"/>
    </row>
    <row r="294" spans="1:11" ht="20.25" customHeight="1">
      <c r="A294" s="385" t="s">
        <v>1568</v>
      </c>
      <c r="B294" s="386"/>
      <c r="C294" s="386"/>
      <c r="D294" s="386"/>
      <c r="E294" s="387"/>
      <c r="F294" s="127" t="s">
        <v>1569</v>
      </c>
      <c r="G294" s="388" t="s">
        <v>1570</v>
      </c>
      <c r="H294" s="389"/>
      <c r="I294" s="389"/>
      <c r="J294" s="389"/>
      <c r="K294" s="390"/>
    </row>
    <row r="295" spans="1:11" ht="14.55" customHeight="1">
      <c r="A295" s="391" t="s">
        <v>1571</v>
      </c>
      <c r="B295" s="305"/>
      <c r="C295" s="305"/>
      <c r="D295" s="305"/>
      <c r="E295" s="313"/>
      <c r="F295" s="158"/>
      <c r="G295" s="394" t="s">
        <v>1572</v>
      </c>
      <c r="H295" s="395"/>
      <c r="I295" s="397"/>
      <c r="J295" s="398"/>
      <c r="K295" s="38" t="s">
        <v>1573</v>
      </c>
    </row>
    <row r="296" spans="1:11" ht="14.4">
      <c r="A296" s="391" t="s">
        <v>1574</v>
      </c>
      <c r="B296" s="305"/>
      <c r="C296" s="305"/>
      <c r="D296" s="305"/>
      <c r="E296" s="313"/>
      <c r="F296" s="158"/>
      <c r="G296" s="394"/>
      <c r="H296" s="395"/>
      <c r="I296" s="399"/>
      <c r="J296" s="400"/>
      <c r="K296" s="392"/>
    </row>
    <row r="297" spans="1:11" ht="14.4">
      <c r="A297" s="391" t="s">
        <v>1575</v>
      </c>
      <c r="B297" s="305"/>
      <c r="C297" s="305"/>
      <c r="D297" s="305"/>
      <c r="E297" s="313"/>
      <c r="F297" s="158"/>
      <c r="G297" s="396"/>
      <c r="H297" s="396"/>
      <c r="I297" s="401"/>
      <c r="J297" s="402"/>
      <c r="K297" s="393"/>
    </row>
  </sheetData>
  <sheetProtection algorithmName="SHA-512" hashValue="0M+6fE8TU1SfWguJH0uEmCeahwNx8fWDu6ZLONTirTTQxV2ZyCQOmfmxWrrW3bXGTe3d0K1pDpVMmbR+hfGiIQ==" saltValue="XJQDay5GagPJ2Ewn7eiwRg==" spinCount="100000" sheet="1" objects="1" scenarios="1"/>
  <mergeCells count="750">
    <mergeCell ref="C137:E137"/>
    <mergeCell ref="F137:G137"/>
    <mergeCell ref="H137:J137"/>
    <mergeCell ref="H83:J83"/>
    <mergeCell ref="C126:E126"/>
    <mergeCell ref="F126:G126"/>
    <mergeCell ref="H126:J126"/>
    <mergeCell ref="C127:E127"/>
    <mergeCell ref="F127:G127"/>
    <mergeCell ref="F96:G96"/>
    <mergeCell ref="C112:E112"/>
    <mergeCell ref="H107:J107"/>
    <mergeCell ref="C99:E99"/>
    <mergeCell ref="F99:G99"/>
    <mergeCell ref="H99:J99"/>
    <mergeCell ref="C100:E100"/>
    <mergeCell ref="F100:G100"/>
    <mergeCell ref="H100:J100"/>
    <mergeCell ref="C97:E97"/>
    <mergeCell ref="F97:G97"/>
    <mergeCell ref="H97:J97"/>
    <mergeCell ref="F92:G92"/>
    <mergeCell ref="C125:E125"/>
    <mergeCell ref="F125:G125"/>
    <mergeCell ref="C283:E283"/>
    <mergeCell ref="F283:G283"/>
    <mergeCell ref="H283:J283"/>
    <mergeCell ref="C46:E46"/>
    <mergeCell ref="F46:G46"/>
    <mergeCell ref="H46:J46"/>
    <mergeCell ref="C280:E280"/>
    <mergeCell ref="F280:G280"/>
    <mergeCell ref="H280:J280"/>
    <mergeCell ref="C281:E281"/>
    <mergeCell ref="F281:G281"/>
    <mergeCell ref="H281:J281"/>
    <mergeCell ref="C282:E282"/>
    <mergeCell ref="F282:G282"/>
    <mergeCell ref="H282:J282"/>
    <mergeCell ref="C277:E277"/>
    <mergeCell ref="F277:G277"/>
    <mergeCell ref="H277:J277"/>
    <mergeCell ref="C278:E278"/>
    <mergeCell ref="F278:G278"/>
    <mergeCell ref="H278:J278"/>
    <mergeCell ref="C75:E75"/>
    <mergeCell ref="F75:G75"/>
    <mergeCell ref="H75:J75"/>
    <mergeCell ref="C273:E273"/>
    <mergeCell ref="F273:G273"/>
    <mergeCell ref="H273:J273"/>
    <mergeCell ref="C279:E279"/>
    <mergeCell ref="F279:G279"/>
    <mergeCell ref="H279:J279"/>
    <mergeCell ref="C274:E274"/>
    <mergeCell ref="F274:G274"/>
    <mergeCell ref="H274:J274"/>
    <mergeCell ref="C275:E275"/>
    <mergeCell ref="F275:G275"/>
    <mergeCell ref="H275:J275"/>
    <mergeCell ref="C276:E276"/>
    <mergeCell ref="F276:G276"/>
    <mergeCell ref="H276:J276"/>
    <mergeCell ref="C270:E270"/>
    <mergeCell ref="F270:G270"/>
    <mergeCell ref="H270:J270"/>
    <mergeCell ref="C271:E271"/>
    <mergeCell ref="F271:G271"/>
    <mergeCell ref="H271:J271"/>
    <mergeCell ref="C272:E272"/>
    <mergeCell ref="F272:G272"/>
    <mergeCell ref="H272:J272"/>
    <mergeCell ref="A266:K266"/>
    <mergeCell ref="C267:E267"/>
    <mergeCell ref="F267:G267"/>
    <mergeCell ref="H267:J267"/>
    <mergeCell ref="C268:E268"/>
    <mergeCell ref="F268:G268"/>
    <mergeCell ref="H268:J268"/>
    <mergeCell ref="C269:E269"/>
    <mergeCell ref="F269:G269"/>
    <mergeCell ref="H269:J269"/>
    <mergeCell ref="C262:E262"/>
    <mergeCell ref="F262:G262"/>
    <mergeCell ref="H262:J262"/>
    <mergeCell ref="C263:E263"/>
    <mergeCell ref="F263:G263"/>
    <mergeCell ref="H263:J263"/>
    <mergeCell ref="C264:E264"/>
    <mergeCell ref="F264:G264"/>
    <mergeCell ref="H264:J264"/>
    <mergeCell ref="C259:E259"/>
    <mergeCell ref="F259:G259"/>
    <mergeCell ref="H259:J259"/>
    <mergeCell ref="C260:E260"/>
    <mergeCell ref="F260:G260"/>
    <mergeCell ref="H260:J260"/>
    <mergeCell ref="C261:E261"/>
    <mergeCell ref="F261:G261"/>
    <mergeCell ref="H261:J261"/>
    <mergeCell ref="C256:E256"/>
    <mergeCell ref="F256:G256"/>
    <mergeCell ref="H256:J256"/>
    <mergeCell ref="C257:E257"/>
    <mergeCell ref="F257:G257"/>
    <mergeCell ref="H257:J257"/>
    <mergeCell ref="C258:E258"/>
    <mergeCell ref="F258:G258"/>
    <mergeCell ref="H258:J258"/>
    <mergeCell ref="C253:E253"/>
    <mergeCell ref="F253:G253"/>
    <mergeCell ref="H253:J253"/>
    <mergeCell ref="C254:E254"/>
    <mergeCell ref="F254:G254"/>
    <mergeCell ref="H254:J254"/>
    <mergeCell ref="C255:E255"/>
    <mergeCell ref="F255:G255"/>
    <mergeCell ref="H255:J255"/>
    <mergeCell ref="C250:E250"/>
    <mergeCell ref="F250:G250"/>
    <mergeCell ref="H250:J250"/>
    <mergeCell ref="C251:E251"/>
    <mergeCell ref="F251:G251"/>
    <mergeCell ref="H251:J251"/>
    <mergeCell ref="C252:E252"/>
    <mergeCell ref="F252:G252"/>
    <mergeCell ref="H252:J252"/>
    <mergeCell ref="C247:E247"/>
    <mergeCell ref="F247:G247"/>
    <mergeCell ref="H247:J247"/>
    <mergeCell ref="C248:E248"/>
    <mergeCell ref="F248:G248"/>
    <mergeCell ref="H248:J248"/>
    <mergeCell ref="C249:E249"/>
    <mergeCell ref="F249:G249"/>
    <mergeCell ref="H249:J249"/>
    <mergeCell ref="C242:E242"/>
    <mergeCell ref="F242:G242"/>
    <mergeCell ref="H242:J242"/>
    <mergeCell ref="A244:K244"/>
    <mergeCell ref="C245:E245"/>
    <mergeCell ref="F245:G245"/>
    <mergeCell ref="H245:J245"/>
    <mergeCell ref="C246:E246"/>
    <mergeCell ref="F246:G246"/>
    <mergeCell ref="H246:J246"/>
    <mergeCell ref="C239:E239"/>
    <mergeCell ref="F239:G239"/>
    <mergeCell ref="H239:J239"/>
    <mergeCell ref="C240:E240"/>
    <mergeCell ref="F240:G240"/>
    <mergeCell ref="H240:J240"/>
    <mergeCell ref="C241:E241"/>
    <mergeCell ref="F241:G241"/>
    <mergeCell ref="H241:J241"/>
    <mergeCell ref="C236:E236"/>
    <mergeCell ref="F236:G236"/>
    <mergeCell ref="H236:J236"/>
    <mergeCell ref="C237:E237"/>
    <mergeCell ref="F237:G237"/>
    <mergeCell ref="H237:J237"/>
    <mergeCell ref="C238:E238"/>
    <mergeCell ref="F238:G238"/>
    <mergeCell ref="H238:J238"/>
    <mergeCell ref="C233:E233"/>
    <mergeCell ref="F233:G233"/>
    <mergeCell ref="H233:J233"/>
    <mergeCell ref="C234:E234"/>
    <mergeCell ref="F234:G234"/>
    <mergeCell ref="H234:J234"/>
    <mergeCell ref="C235:E235"/>
    <mergeCell ref="F235:G235"/>
    <mergeCell ref="H235:J235"/>
    <mergeCell ref="C230:E230"/>
    <mergeCell ref="F230:G230"/>
    <mergeCell ref="H230:J230"/>
    <mergeCell ref="C231:E231"/>
    <mergeCell ref="F231:G231"/>
    <mergeCell ref="H231:J231"/>
    <mergeCell ref="C232:E232"/>
    <mergeCell ref="F232:G232"/>
    <mergeCell ref="H232:J232"/>
    <mergeCell ref="C227:E227"/>
    <mergeCell ref="F227:G227"/>
    <mergeCell ref="H227:J227"/>
    <mergeCell ref="C228:E228"/>
    <mergeCell ref="F228:G228"/>
    <mergeCell ref="H228:J228"/>
    <mergeCell ref="C229:E229"/>
    <mergeCell ref="F229:G229"/>
    <mergeCell ref="H229:J229"/>
    <mergeCell ref="C224:E224"/>
    <mergeCell ref="F224:G224"/>
    <mergeCell ref="H224:J224"/>
    <mergeCell ref="C225:E225"/>
    <mergeCell ref="F225:G225"/>
    <mergeCell ref="H225:J225"/>
    <mergeCell ref="C226:E226"/>
    <mergeCell ref="F226:G226"/>
    <mergeCell ref="H226:J226"/>
    <mergeCell ref="C219:E219"/>
    <mergeCell ref="F219:G219"/>
    <mergeCell ref="H219:J219"/>
    <mergeCell ref="C220:E220"/>
    <mergeCell ref="F220:G220"/>
    <mergeCell ref="H220:J220"/>
    <mergeCell ref="A222:K222"/>
    <mergeCell ref="C223:E223"/>
    <mergeCell ref="F223:G223"/>
    <mergeCell ref="H223:J223"/>
    <mergeCell ref="F215:G215"/>
    <mergeCell ref="H215:J215"/>
    <mergeCell ref="C216:E216"/>
    <mergeCell ref="F216:G216"/>
    <mergeCell ref="H216:J216"/>
    <mergeCell ref="C217:E217"/>
    <mergeCell ref="F217:G217"/>
    <mergeCell ref="H217:J217"/>
    <mergeCell ref="C218:E218"/>
    <mergeCell ref="F218:G218"/>
    <mergeCell ref="H218:J218"/>
    <mergeCell ref="H125:J125"/>
    <mergeCell ref="F115:G115"/>
    <mergeCell ref="F116:G116"/>
    <mergeCell ref="C123:E123"/>
    <mergeCell ref="F95:G95"/>
    <mergeCell ref="H95:J95"/>
    <mergeCell ref="C93:E93"/>
    <mergeCell ref="F93:G93"/>
    <mergeCell ref="H93:J93"/>
    <mergeCell ref="C105:E105"/>
    <mergeCell ref="F105:G105"/>
    <mergeCell ref="H105:J105"/>
    <mergeCell ref="C121:E121"/>
    <mergeCell ref="F121:G121"/>
    <mergeCell ref="H121:J121"/>
    <mergeCell ref="H116:J116"/>
    <mergeCell ref="C117:E117"/>
    <mergeCell ref="F117:G117"/>
    <mergeCell ref="H117:J117"/>
    <mergeCell ref="H112:J112"/>
    <mergeCell ref="C119:E119"/>
    <mergeCell ref="F119:G119"/>
    <mergeCell ref="H119:J119"/>
    <mergeCell ref="C120:E120"/>
    <mergeCell ref="H92:J92"/>
    <mergeCell ref="C94:E94"/>
    <mergeCell ref="F94:G94"/>
    <mergeCell ref="H94:J94"/>
    <mergeCell ref="C95:E95"/>
    <mergeCell ref="C96:E96"/>
    <mergeCell ref="H96:J96"/>
    <mergeCell ref="C104:E104"/>
    <mergeCell ref="C98:E98"/>
    <mergeCell ref="F98:G98"/>
    <mergeCell ref="A102:K102"/>
    <mergeCell ref="C103:E103"/>
    <mergeCell ref="F103:G103"/>
    <mergeCell ref="H103:J103"/>
    <mergeCell ref="C291:E291"/>
    <mergeCell ref="F291:G291"/>
    <mergeCell ref="H291:J291"/>
    <mergeCell ref="C290:E290"/>
    <mergeCell ref="F290:G290"/>
    <mergeCell ref="H290:J290"/>
    <mergeCell ref="A289:K289"/>
    <mergeCell ref="A209:K209"/>
    <mergeCell ref="C210:E210"/>
    <mergeCell ref="F210:G210"/>
    <mergeCell ref="H210:J210"/>
    <mergeCell ref="C211:E211"/>
    <mergeCell ref="F211:G211"/>
    <mergeCell ref="H211:J211"/>
    <mergeCell ref="C213:E213"/>
    <mergeCell ref="F213:G213"/>
    <mergeCell ref="H213:J213"/>
    <mergeCell ref="C212:E212"/>
    <mergeCell ref="F212:G212"/>
    <mergeCell ref="H212:J212"/>
    <mergeCell ref="C214:E214"/>
    <mergeCell ref="F214:G214"/>
    <mergeCell ref="H214:J214"/>
    <mergeCell ref="C215:E215"/>
    <mergeCell ref="F120:G120"/>
    <mergeCell ref="F104:G104"/>
    <mergeCell ref="H104:J104"/>
    <mergeCell ref="C107:E107"/>
    <mergeCell ref="F107:G107"/>
    <mergeCell ref="C118:E118"/>
    <mergeCell ref="F118:G118"/>
    <mergeCell ref="H118:J118"/>
    <mergeCell ref="C116:E116"/>
    <mergeCell ref="F70:G70"/>
    <mergeCell ref="H70:J70"/>
    <mergeCell ref="H67:J67"/>
    <mergeCell ref="C68:E68"/>
    <mergeCell ref="F68:G68"/>
    <mergeCell ref="H68:J68"/>
    <mergeCell ref="C71:E71"/>
    <mergeCell ref="F71:G71"/>
    <mergeCell ref="C90:E90"/>
    <mergeCell ref="F90:G90"/>
    <mergeCell ref="C84:E84"/>
    <mergeCell ref="F84:G84"/>
    <mergeCell ref="H84:J84"/>
    <mergeCell ref="C85:E85"/>
    <mergeCell ref="C74:E74"/>
    <mergeCell ref="F74:G74"/>
    <mergeCell ref="H74:J74"/>
    <mergeCell ref="C67:E67"/>
    <mergeCell ref="F67:G67"/>
    <mergeCell ref="H71:J71"/>
    <mergeCell ref="C69:E69"/>
    <mergeCell ref="F69:G69"/>
    <mergeCell ref="H69:J69"/>
    <mergeCell ref="A77:K77"/>
    <mergeCell ref="A296:E296"/>
    <mergeCell ref="A297:E297"/>
    <mergeCell ref="F114:G114"/>
    <mergeCell ref="H114:J114"/>
    <mergeCell ref="C115:E115"/>
    <mergeCell ref="K296:K297"/>
    <mergeCell ref="G295:H297"/>
    <mergeCell ref="I295:J297"/>
    <mergeCell ref="A293:K293"/>
    <mergeCell ref="A295:E295"/>
    <mergeCell ref="H287:J287"/>
    <mergeCell ref="H286:J286"/>
    <mergeCell ref="A285:K285"/>
    <mergeCell ref="H127:J127"/>
    <mergeCell ref="C287:E287"/>
    <mergeCell ref="F287:G287"/>
    <mergeCell ref="C286:E286"/>
    <mergeCell ref="H122:J122"/>
    <mergeCell ref="C114:E114"/>
    <mergeCell ref="H115:J115"/>
    <mergeCell ref="C136:E136"/>
    <mergeCell ref="F136:G136"/>
    <mergeCell ref="H136:J136"/>
    <mergeCell ref="C138:E138"/>
    <mergeCell ref="C70:E70"/>
    <mergeCell ref="F286:G286"/>
    <mergeCell ref="A294:E294"/>
    <mergeCell ref="G294:K294"/>
    <mergeCell ref="C82:E82"/>
    <mergeCell ref="F82:G82"/>
    <mergeCell ref="H82:J82"/>
    <mergeCell ref="C92:E92"/>
    <mergeCell ref="C87:E87"/>
    <mergeCell ref="F87:G87"/>
    <mergeCell ref="H87:J87"/>
    <mergeCell ref="C113:E113"/>
    <mergeCell ref="F113:G113"/>
    <mergeCell ref="H113:J113"/>
    <mergeCell ref="H98:J98"/>
    <mergeCell ref="C89:E89"/>
    <mergeCell ref="F89:G89"/>
    <mergeCell ref="H89:J89"/>
    <mergeCell ref="C86:E86"/>
    <mergeCell ref="F86:G86"/>
    <mergeCell ref="H86:J86"/>
    <mergeCell ref="F85:G85"/>
    <mergeCell ref="H85:J85"/>
    <mergeCell ref="C122:E122"/>
    <mergeCell ref="C79:E79"/>
    <mergeCell ref="F79:G79"/>
    <mergeCell ref="H79:J79"/>
    <mergeCell ref="C78:E78"/>
    <mergeCell ref="F78:G78"/>
    <mergeCell ref="H78:J78"/>
    <mergeCell ref="C81:E81"/>
    <mergeCell ref="F81:G81"/>
    <mergeCell ref="H81:J81"/>
    <mergeCell ref="C80:E80"/>
    <mergeCell ref="F80:G80"/>
    <mergeCell ref="H80:J80"/>
    <mergeCell ref="H90:J90"/>
    <mergeCell ref="C91:E91"/>
    <mergeCell ref="H88:J88"/>
    <mergeCell ref="F91:G91"/>
    <mergeCell ref="H91:J91"/>
    <mergeCell ref="C88:E88"/>
    <mergeCell ref="F88:G88"/>
    <mergeCell ref="C83:E83"/>
    <mergeCell ref="F83:G83"/>
    <mergeCell ref="A1:K1"/>
    <mergeCell ref="A4:K4"/>
    <mergeCell ref="F41:G41"/>
    <mergeCell ref="H41:J41"/>
    <mergeCell ref="C42:E42"/>
    <mergeCell ref="H43:J43"/>
    <mergeCell ref="C43:E43"/>
    <mergeCell ref="F2:G2"/>
    <mergeCell ref="D10:K10"/>
    <mergeCell ref="A5:K5"/>
    <mergeCell ref="H20:J20"/>
    <mergeCell ref="C21:E21"/>
    <mergeCell ref="F21:G21"/>
    <mergeCell ref="H21:J21"/>
    <mergeCell ref="H2:K2"/>
    <mergeCell ref="D7:K7"/>
    <mergeCell ref="A7:C7"/>
    <mergeCell ref="A6:K6"/>
    <mergeCell ref="A12:K12"/>
    <mergeCell ref="H42:J42"/>
    <mergeCell ref="F43:G43"/>
    <mergeCell ref="C41:E41"/>
    <mergeCell ref="A40:K40"/>
    <mergeCell ref="A17:K17"/>
    <mergeCell ref="C2:E2"/>
    <mergeCell ref="A2:B2"/>
    <mergeCell ref="F42:G42"/>
    <mergeCell ref="A11:K11"/>
    <mergeCell ref="A10:C10"/>
    <mergeCell ref="D8:K8"/>
    <mergeCell ref="D9:K9"/>
    <mergeCell ref="A9:C9"/>
    <mergeCell ref="A13:K13"/>
    <mergeCell ref="A19:K19"/>
    <mergeCell ref="A16:K16"/>
    <mergeCell ref="C20:E20"/>
    <mergeCell ref="F20:G20"/>
    <mergeCell ref="A23:K23"/>
    <mergeCell ref="C24:E24"/>
    <mergeCell ref="F24:G24"/>
    <mergeCell ref="H24:J24"/>
    <mergeCell ref="A28:K28"/>
    <mergeCell ref="C38:E38"/>
    <mergeCell ref="F38:G38"/>
    <mergeCell ref="H38:J38"/>
    <mergeCell ref="C25:E25"/>
    <mergeCell ref="F25:G25"/>
    <mergeCell ref="H25:J25"/>
    <mergeCell ref="F54:G54"/>
    <mergeCell ref="H54:J54"/>
    <mergeCell ref="H56:J56"/>
    <mergeCell ref="A14:K14"/>
    <mergeCell ref="A8:C8"/>
    <mergeCell ref="A15:K15"/>
    <mergeCell ref="F47:G47"/>
    <mergeCell ref="H47:J47"/>
    <mergeCell ref="C55:E55"/>
    <mergeCell ref="C56:E56"/>
    <mergeCell ref="C54:E54"/>
    <mergeCell ref="H55:J55"/>
    <mergeCell ref="C49:E49"/>
    <mergeCell ref="F49:G49"/>
    <mergeCell ref="H49:J49"/>
    <mergeCell ref="H44:J44"/>
    <mergeCell ref="F56:G56"/>
    <mergeCell ref="C26:E26"/>
    <mergeCell ref="F26:G26"/>
    <mergeCell ref="H26:J26"/>
    <mergeCell ref="C30:E30"/>
    <mergeCell ref="F30:G30"/>
    <mergeCell ref="H30:J30"/>
    <mergeCell ref="C29:E29"/>
    <mergeCell ref="F61:G61"/>
    <mergeCell ref="H61:J61"/>
    <mergeCell ref="C63:E63"/>
    <mergeCell ref="H58:J58"/>
    <mergeCell ref="F63:G63"/>
    <mergeCell ref="H60:J60"/>
    <mergeCell ref="C58:E58"/>
    <mergeCell ref="F55:G55"/>
    <mergeCell ref="H62:J62"/>
    <mergeCell ref="F58:G58"/>
    <mergeCell ref="C59:E59"/>
    <mergeCell ref="F59:G59"/>
    <mergeCell ref="H59:J59"/>
    <mergeCell ref="C60:E60"/>
    <mergeCell ref="F60:G60"/>
    <mergeCell ref="C72:E72"/>
    <mergeCell ref="F72:G72"/>
    <mergeCell ref="H72:J72"/>
    <mergeCell ref="F45:G45"/>
    <mergeCell ref="H45:J45"/>
    <mergeCell ref="C44:E44"/>
    <mergeCell ref="F44:G44"/>
    <mergeCell ref="C45:E45"/>
    <mergeCell ref="C57:E57"/>
    <mergeCell ref="F57:G57"/>
    <mergeCell ref="H57:J57"/>
    <mergeCell ref="F53:G53"/>
    <mergeCell ref="A52:K52"/>
    <mergeCell ref="H53:J53"/>
    <mergeCell ref="C53:E53"/>
    <mergeCell ref="H63:J63"/>
    <mergeCell ref="C47:E47"/>
    <mergeCell ref="C62:E62"/>
    <mergeCell ref="F62:G62"/>
    <mergeCell ref="A65:K65"/>
    <mergeCell ref="C66:E66"/>
    <mergeCell ref="F66:G66"/>
    <mergeCell ref="H66:J66"/>
    <mergeCell ref="C61:E61"/>
    <mergeCell ref="F29:G29"/>
    <mergeCell ref="H29:J29"/>
    <mergeCell ref="C32:E32"/>
    <mergeCell ref="F32:G32"/>
    <mergeCell ref="H32:J32"/>
    <mergeCell ref="A34:K34"/>
    <mergeCell ref="C35:E35"/>
    <mergeCell ref="F35:G35"/>
    <mergeCell ref="H35:J35"/>
    <mergeCell ref="A134:K134"/>
    <mergeCell ref="C135:E135"/>
    <mergeCell ref="F135:G135"/>
    <mergeCell ref="H135:J135"/>
    <mergeCell ref="C36:E36"/>
    <mergeCell ref="F36:G36"/>
    <mergeCell ref="H36:J36"/>
    <mergeCell ref="C37:E37"/>
    <mergeCell ref="F37:G37"/>
    <mergeCell ref="H37:J37"/>
    <mergeCell ref="C106:E106"/>
    <mergeCell ref="F106:G106"/>
    <mergeCell ref="H106:J106"/>
    <mergeCell ref="C128:E128"/>
    <mergeCell ref="F128:G128"/>
    <mergeCell ref="H128:J128"/>
    <mergeCell ref="C129:E129"/>
    <mergeCell ref="F129:G129"/>
    <mergeCell ref="H129:J129"/>
    <mergeCell ref="C130:E130"/>
    <mergeCell ref="F130:G130"/>
    <mergeCell ref="H130:J130"/>
    <mergeCell ref="C131:E131"/>
    <mergeCell ref="F131:G131"/>
    <mergeCell ref="F138:G138"/>
    <mergeCell ref="H138:J138"/>
    <mergeCell ref="C139:E139"/>
    <mergeCell ref="F139:G139"/>
    <mergeCell ref="H139:J139"/>
    <mergeCell ref="C140:E140"/>
    <mergeCell ref="F140:G140"/>
    <mergeCell ref="H140:J140"/>
    <mergeCell ref="C141:E141"/>
    <mergeCell ref="F141:G141"/>
    <mergeCell ref="H141:J141"/>
    <mergeCell ref="C142:E142"/>
    <mergeCell ref="F142:G142"/>
    <mergeCell ref="H142:J142"/>
    <mergeCell ref="C143:E143"/>
    <mergeCell ref="F143:G143"/>
    <mergeCell ref="H143:J143"/>
    <mergeCell ref="A145:K145"/>
    <mergeCell ref="C146:E146"/>
    <mergeCell ref="F146:G146"/>
    <mergeCell ref="H146:J146"/>
    <mergeCell ref="C147:E147"/>
    <mergeCell ref="F147:G147"/>
    <mergeCell ref="H147:J147"/>
    <mergeCell ref="C149:E149"/>
    <mergeCell ref="F149:G149"/>
    <mergeCell ref="H149:J149"/>
    <mergeCell ref="C150:E150"/>
    <mergeCell ref="F150:G150"/>
    <mergeCell ref="H150:J150"/>
    <mergeCell ref="C148:E148"/>
    <mergeCell ref="F148:G148"/>
    <mergeCell ref="H148:J148"/>
    <mergeCell ref="C151:E151"/>
    <mergeCell ref="F151:G151"/>
    <mergeCell ref="H151:J151"/>
    <mergeCell ref="C152:E152"/>
    <mergeCell ref="F152:G152"/>
    <mergeCell ref="H152:J152"/>
    <mergeCell ref="C153:E153"/>
    <mergeCell ref="F153:G153"/>
    <mergeCell ref="H153:J153"/>
    <mergeCell ref="C154:E154"/>
    <mergeCell ref="F154:G154"/>
    <mergeCell ref="H154:J154"/>
    <mergeCell ref="C155:E155"/>
    <mergeCell ref="F155:G155"/>
    <mergeCell ref="H155:J155"/>
    <mergeCell ref="C156:E156"/>
    <mergeCell ref="F156:G156"/>
    <mergeCell ref="H156:J156"/>
    <mergeCell ref="C157:E157"/>
    <mergeCell ref="F157:G157"/>
    <mergeCell ref="H157:J157"/>
    <mergeCell ref="C158:E158"/>
    <mergeCell ref="F158:G158"/>
    <mergeCell ref="H158:J158"/>
    <mergeCell ref="A160:K160"/>
    <mergeCell ref="C161:E161"/>
    <mergeCell ref="F161:G161"/>
    <mergeCell ref="H161:J161"/>
    <mergeCell ref="C162:E162"/>
    <mergeCell ref="F162:G162"/>
    <mergeCell ref="H162:J162"/>
    <mergeCell ref="C164:E164"/>
    <mergeCell ref="F164:G164"/>
    <mergeCell ref="H164:J164"/>
    <mergeCell ref="C165:E165"/>
    <mergeCell ref="F165:G165"/>
    <mergeCell ref="H165:J165"/>
    <mergeCell ref="C163:E163"/>
    <mergeCell ref="F163:G163"/>
    <mergeCell ref="H163:J163"/>
    <mergeCell ref="C166:E166"/>
    <mergeCell ref="F166:G166"/>
    <mergeCell ref="H166:J166"/>
    <mergeCell ref="C167:E167"/>
    <mergeCell ref="F167:G167"/>
    <mergeCell ref="H167:J167"/>
    <mergeCell ref="A169:K169"/>
    <mergeCell ref="C170:E170"/>
    <mergeCell ref="F170:G170"/>
    <mergeCell ref="H170:J170"/>
    <mergeCell ref="C171:E171"/>
    <mergeCell ref="F171:G171"/>
    <mergeCell ref="H171:J171"/>
    <mergeCell ref="C173:E173"/>
    <mergeCell ref="F173:G173"/>
    <mergeCell ref="H173:J173"/>
    <mergeCell ref="C174:E174"/>
    <mergeCell ref="F174:G174"/>
    <mergeCell ref="H174:J174"/>
    <mergeCell ref="C172:E172"/>
    <mergeCell ref="F172:G172"/>
    <mergeCell ref="H172:J172"/>
    <mergeCell ref="C175:E175"/>
    <mergeCell ref="F175:G175"/>
    <mergeCell ref="H175:J175"/>
    <mergeCell ref="C176:E176"/>
    <mergeCell ref="F176:G176"/>
    <mergeCell ref="H176:J176"/>
    <mergeCell ref="C177:E177"/>
    <mergeCell ref="F177:G177"/>
    <mergeCell ref="H177:J177"/>
    <mergeCell ref="C178:E178"/>
    <mergeCell ref="F178:G178"/>
    <mergeCell ref="H178:J178"/>
    <mergeCell ref="C179:E179"/>
    <mergeCell ref="F179:G179"/>
    <mergeCell ref="H179:J179"/>
    <mergeCell ref="C180:E180"/>
    <mergeCell ref="F180:G180"/>
    <mergeCell ref="H180:J180"/>
    <mergeCell ref="C181:E181"/>
    <mergeCell ref="F181:G181"/>
    <mergeCell ref="H181:J181"/>
    <mergeCell ref="C182:E182"/>
    <mergeCell ref="F182:G182"/>
    <mergeCell ref="H182:J182"/>
    <mergeCell ref="C183:E183"/>
    <mergeCell ref="F183:G183"/>
    <mergeCell ref="H183:J183"/>
    <mergeCell ref="A185:K185"/>
    <mergeCell ref="C186:E186"/>
    <mergeCell ref="F186:G186"/>
    <mergeCell ref="H186:J186"/>
    <mergeCell ref="C187:E187"/>
    <mergeCell ref="F187:G187"/>
    <mergeCell ref="H187:J187"/>
    <mergeCell ref="C191:E191"/>
    <mergeCell ref="F191:G191"/>
    <mergeCell ref="H191:J191"/>
    <mergeCell ref="C189:E189"/>
    <mergeCell ref="F189:G189"/>
    <mergeCell ref="H189:J189"/>
    <mergeCell ref="C188:E188"/>
    <mergeCell ref="F188:G188"/>
    <mergeCell ref="H188:J188"/>
    <mergeCell ref="F198:G198"/>
    <mergeCell ref="C192:E192"/>
    <mergeCell ref="F192:G192"/>
    <mergeCell ref="H192:J192"/>
    <mergeCell ref="C193:E193"/>
    <mergeCell ref="F193:G193"/>
    <mergeCell ref="H193:J193"/>
    <mergeCell ref="C194:E194"/>
    <mergeCell ref="F194:G194"/>
    <mergeCell ref="H194:J194"/>
    <mergeCell ref="H198:J198"/>
    <mergeCell ref="H205:J205"/>
    <mergeCell ref="C195:E195"/>
    <mergeCell ref="F195:G195"/>
    <mergeCell ref="H195:J195"/>
    <mergeCell ref="C196:E196"/>
    <mergeCell ref="F196:G196"/>
    <mergeCell ref="H196:J196"/>
    <mergeCell ref="C206:E206"/>
    <mergeCell ref="F206:G206"/>
    <mergeCell ref="H206:J206"/>
    <mergeCell ref="C197:E197"/>
    <mergeCell ref="F197:G197"/>
    <mergeCell ref="H197:J197"/>
    <mergeCell ref="A200:K200"/>
    <mergeCell ref="C201:E201"/>
    <mergeCell ref="F201:G201"/>
    <mergeCell ref="H201:J201"/>
    <mergeCell ref="C202:E202"/>
    <mergeCell ref="F202:G202"/>
    <mergeCell ref="H202:J202"/>
    <mergeCell ref="C203:E203"/>
    <mergeCell ref="F203:G203"/>
    <mergeCell ref="H203:J203"/>
    <mergeCell ref="C198:E198"/>
    <mergeCell ref="F122:G122"/>
    <mergeCell ref="C207:E207"/>
    <mergeCell ref="F207:G207"/>
    <mergeCell ref="H207:J207"/>
    <mergeCell ref="C31:E31"/>
    <mergeCell ref="F31:G31"/>
    <mergeCell ref="H31:J31"/>
    <mergeCell ref="C48:E48"/>
    <mergeCell ref="F48:G48"/>
    <mergeCell ref="H48:J48"/>
    <mergeCell ref="C50:E50"/>
    <mergeCell ref="F50:G50"/>
    <mergeCell ref="H50:J50"/>
    <mergeCell ref="F73:G73"/>
    <mergeCell ref="H73:J73"/>
    <mergeCell ref="C73:E73"/>
    <mergeCell ref="C190:E190"/>
    <mergeCell ref="F190:G190"/>
    <mergeCell ref="H190:J190"/>
    <mergeCell ref="C204:E204"/>
    <mergeCell ref="F204:G204"/>
    <mergeCell ref="H204:J204"/>
    <mergeCell ref="C205:E205"/>
    <mergeCell ref="F205:G205"/>
    <mergeCell ref="B18:K18"/>
    <mergeCell ref="H131:J131"/>
    <mergeCell ref="C132:E132"/>
    <mergeCell ref="F132:G132"/>
    <mergeCell ref="H132:J132"/>
    <mergeCell ref="H120:J120"/>
    <mergeCell ref="C108:E108"/>
    <mergeCell ref="F108:G108"/>
    <mergeCell ref="H108:J108"/>
    <mergeCell ref="C109:E109"/>
    <mergeCell ref="F109:G109"/>
    <mergeCell ref="H109:J109"/>
    <mergeCell ref="C110:E110"/>
    <mergeCell ref="F110:G110"/>
    <mergeCell ref="H110:J110"/>
    <mergeCell ref="C111:E111"/>
    <mergeCell ref="F111:G111"/>
    <mergeCell ref="H111:J111"/>
    <mergeCell ref="F123:G123"/>
    <mergeCell ref="H123:J123"/>
    <mergeCell ref="C124:E124"/>
    <mergeCell ref="F124:G124"/>
    <mergeCell ref="H124:J124"/>
    <mergeCell ref="F112:G112"/>
  </mergeCells>
  <pageMargins left="0.70866141732283472" right="0.70866141732283472" top="0.74803149606299213" bottom="0.74803149606299213" header="0.31496062992125984" footer="0.31496062992125984"/>
  <pageSetup paperSize="9" scale="54" fitToHeight="0" orientation="portrait" r:id="rId1"/>
  <headerFooter>
    <oddHeader>&amp;R&amp;G</oddHeader>
    <oddFooter>&amp;L&amp;8Version: 1.0&amp;C&amp;8&amp;P of &amp;N&amp;R&amp;8Revidováno: září 2023</oddFooter>
  </headerFooter>
  <rowBreaks count="3" manualBreakCount="3">
    <brk id="32" max="10" man="1"/>
    <brk id="76" max="10" man="1"/>
    <brk id="100" max="10"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9839D-33D3-4BC4-9C62-3BBA178DDF10}">
  <sheetPr codeName="Sheet4">
    <pageSetUpPr fitToPage="1"/>
  </sheetPr>
  <dimension ref="A1:V14"/>
  <sheetViews>
    <sheetView view="pageLayout" topLeftCell="A107" zoomScale="50" zoomScaleNormal="100" zoomScalePageLayoutView="50" workbookViewId="0">
      <selection activeCell="AF145" sqref="AF145"/>
    </sheetView>
  </sheetViews>
  <sheetFormatPr defaultColWidth="8.77734375" defaultRowHeight="14.4"/>
  <cols>
    <col min="1" max="1" width="18.5546875" style="4" bestFit="1" customWidth="1"/>
    <col min="2" max="16384" width="8.77734375" style="4"/>
  </cols>
  <sheetData>
    <row r="1" spans="1:22">
      <c r="A1" s="184" t="s">
        <v>314</v>
      </c>
      <c r="B1" s="184" t="s">
        <v>315</v>
      </c>
      <c r="C1" s="184" t="s">
        <v>316</v>
      </c>
      <c r="D1" s="184" t="s">
        <v>317</v>
      </c>
      <c r="E1" s="184" t="s">
        <v>318</v>
      </c>
      <c r="F1" s="184" t="s">
        <v>319</v>
      </c>
      <c r="G1" s="184" t="s">
        <v>320</v>
      </c>
      <c r="H1" s="184" t="s">
        <v>321</v>
      </c>
      <c r="I1" s="184" t="s">
        <v>322</v>
      </c>
      <c r="J1" s="185" t="s">
        <v>323</v>
      </c>
      <c r="K1" s="185" t="s">
        <v>324</v>
      </c>
      <c r="L1" s="185" t="s">
        <v>325</v>
      </c>
      <c r="M1" s="185" t="s">
        <v>326</v>
      </c>
      <c r="N1" s="185" t="s">
        <v>327</v>
      </c>
      <c r="O1" s="185" t="s">
        <v>328</v>
      </c>
      <c r="P1" s="185" t="s">
        <v>329</v>
      </c>
      <c r="Q1" s="185" t="s">
        <v>330</v>
      </c>
      <c r="R1" s="185" t="s">
        <v>331</v>
      </c>
      <c r="S1" s="185" t="s">
        <v>332</v>
      </c>
      <c r="T1" s="185" t="s">
        <v>333</v>
      </c>
      <c r="U1" s="185" t="s">
        <v>334</v>
      </c>
      <c r="V1" s="186" t="s">
        <v>335</v>
      </c>
    </row>
    <row r="2" spans="1:22">
      <c r="A2" s="187" t="s">
        <v>33</v>
      </c>
      <c r="B2" s="3"/>
      <c r="C2" s="3"/>
      <c r="D2" s="3"/>
      <c r="E2" s="3"/>
      <c r="F2" s="3"/>
      <c r="G2" s="3"/>
      <c r="H2" s="3"/>
      <c r="I2" s="3"/>
      <c r="J2" s="3"/>
      <c r="K2" s="3"/>
      <c r="L2" s="3"/>
      <c r="M2" s="3"/>
      <c r="N2" s="3"/>
      <c r="O2" s="3"/>
      <c r="P2" s="3"/>
      <c r="Q2" s="3"/>
      <c r="R2" s="3"/>
      <c r="S2" s="3"/>
      <c r="T2" s="3"/>
      <c r="U2" s="3"/>
      <c r="V2" s="4" t="s">
        <v>336</v>
      </c>
    </row>
    <row r="3" spans="1:22">
      <c r="A3" s="187" t="s">
        <v>337</v>
      </c>
      <c r="B3" s="187" t="s">
        <v>40</v>
      </c>
      <c r="C3" s="187" t="s">
        <v>50</v>
      </c>
      <c r="D3" s="187" t="s">
        <v>59</v>
      </c>
      <c r="E3" s="187" t="s">
        <v>67</v>
      </c>
      <c r="F3" s="3"/>
      <c r="G3" s="3"/>
      <c r="H3" s="3"/>
      <c r="I3" s="3"/>
      <c r="J3" s="188" t="s">
        <v>38</v>
      </c>
      <c r="K3" s="188" t="s">
        <v>48</v>
      </c>
      <c r="L3" s="188" t="s">
        <v>57</v>
      </c>
      <c r="M3" s="188" t="s">
        <v>65</v>
      </c>
      <c r="N3" s="188" t="s">
        <v>73</v>
      </c>
      <c r="O3" s="188" t="s">
        <v>81</v>
      </c>
      <c r="P3" s="3"/>
      <c r="Q3" s="3"/>
      <c r="R3" s="3"/>
      <c r="S3" s="3"/>
      <c r="T3" s="3"/>
      <c r="U3" s="3"/>
      <c r="V3" s="4" t="str">
        <f>"Indexes: "&amp;B3&amp;", "&amp;C3&amp;", "&amp;D3&amp;", "&amp;E3&amp;", "&amp;J3&amp;", "&amp;K3&amp;", "&amp;L3&amp;", "&amp;M3&amp;", "&amp;N3&amp;", "&amp;O3</f>
        <v>Indexes: H503, H505, H506, H517, H705, H706, H707, H710, H711, H714</v>
      </c>
    </row>
    <row r="4" spans="1:22">
      <c r="A4" s="187" t="s">
        <v>338</v>
      </c>
      <c r="B4" s="187" t="s">
        <v>75</v>
      </c>
      <c r="C4" s="187" t="s">
        <v>83</v>
      </c>
      <c r="D4" s="187" t="s">
        <v>89</v>
      </c>
      <c r="E4" s="187" t="s">
        <v>98</v>
      </c>
      <c r="F4" s="3"/>
      <c r="G4" s="3"/>
      <c r="H4" s="3"/>
      <c r="I4" s="3"/>
      <c r="J4" s="188" t="s">
        <v>87</v>
      </c>
      <c r="K4" s="188" t="s">
        <v>96</v>
      </c>
      <c r="L4" s="188" t="s">
        <v>103</v>
      </c>
      <c r="M4" s="188" t="s">
        <v>110</v>
      </c>
      <c r="N4" s="188" t="s">
        <v>118</v>
      </c>
      <c r="O4" s="188" t="s">
        <v>126</v>
      </c>
      <c r="P4" s="3"/>
      <c r="Q4" s="3"/>
      <c r="R4" s="3"/>
      <c r="S4" s="3"/>
      <c r="T4" s="3"/>
      <c r="U4" s="3"/>
      <c r="V4" s="4" t="str">
        <f>"Indexes: "&amp;B4&amp;", "&amp;C4&amp;", "&amp;D4&amp;", "&amp;E4&amp;", "&amp;J4&amp;", "&amp;K4&amp;", "&amp;L4&amp;", "&amp;M4&amp;", "&amp;N4&amp;", "&amp;O4</f>
        <v>Indexes: H502, H507, H508, H521, H701, H702, H703, H704, H712, H715</v>
      </c>
    </row>
    <row r="5" spans="1:22">
      <c r="A5" s="187" t="s">
        <v>339</v>
      </c>
      <c r="B5" s="187" t="s">
        <v>40</v>
      </c>
      <c r="C5" s="187" t="s">
        <v>50</v>
      </c>
      <c r="D5" s="187" t="s">
        <v>59</v>
      </c>
      <c r="E5" s="187" t="s">
        <v>67</v>
      </c>
      <c r="F5" s="187" t="s">
        <v>75</v>
      </c>
      <c r="G5" s="187" t="s">
        <v>83</v>
      </c>
      <c r="H5" s="187" t="s">
        <v>89</v>
      </c>
      <c r="I5" s="187" t="s">
        <v>98</v>
      </c>
      <c r="J5" s="188" t="s">
        <v>38</v>
      </c>
      <c r="K5" s="188" t="s">
        <v>48</v>
      </c>
      <c r="L5" s="188" t="s">
        <v>57</v>
      </c>
      <c r="M5" s="188" t="s">
        <v>65</v>
      </c>
      <c r="N5" s="188" t="s">
        <v>73</v>
      </c>
      <c r="O5" s="188" t="s">
        <v>81</v>
      </c>
      <c r="P5" s="188" t="s">
        <v>87</v>
      </c>
      <c r="Q5" s="188" t="s">
        <v>96</v>
      </c>
      <c r="R5" s="188" t="s">
        <v>103</v>
      </c>
      <c r="S5" s="188" t="s">
        <v>110</v>
      </c>
      <c r="T5" s="188" t="s">
        <v>118</v>
      </c>
      <c r="U5" s="188" t="s">
        <v>126</v>
      </c>
      <c r="V5" s="4" t="str">
        <f>"Indexes: "&amp;B5&amp;", "&amp;C5&amp;", "&amp;D5&amp;", "&amp;E5&amp;", "&amp;F5&amp;", "&amp;G5&amp;", "&amp;H5&amp;", "&amp;I5&amp;", "&amp;J5&amp;", "&amp;K5&amp;", "&amp;L5&amp;", "&amp;M5&amp;", "&amp;N5&amp;", "&amp;O5&amp;", "&amp;P5&amp;", "&amp;Q5&amp;", "&amp;R5&amp;", "&amp;S5&amp;", "&amp;T5&amp;", "&amp;U5</f>
        <v>Indexes: H503, H505, H506, H517, H502, H507, H508, H521, H705, H706, H707, H710, H711, H714, H701, H702, H703, H704, H712, H715</v>
      </c>
    </row>
    <row r="6" spans="1:22">
      <c r="A6" s="187" t="s">
        <v>340</v>
      </c>
      <c r="B6" s="187" t="s">
        <v>105</v>
      </c>
      <c r="C6" s="187" t="s">
        <v>112</v>
      </c>
      <c r="D6" s="187" t="s">
        <v>120</v>
      </c>
      <c r="E6" s="187" t="s">
        <v>128</v>
      </c>
      <c r="F6" s="187" t="s">
        <v>134</v>
      </c>
      <c r="G6" s="187" t="s">
        <v>140</v>
      </c>
      <c r="H6" s="187" t="s">
        <v>148</v>
      </c>
      <c r="I6" s="187" t="s">
        <v>156</v>
      </c>
      <c r="J6" s="187" t="s">
        <v>132</v>
      </c>
      <c r="K6" s="187" t="s">
        <v>138</v>
      </c>
      <c r="L6" s="187" t="s">
        <v>146</v>
      </c>
      <c r="M6" s="187" t="s">
        <v>154</v>
      </c>
      <c r="N6" s="187" t="s">
        <v>160</v>
      </c>
      <c r="O6" s="187" t="s">
        <v>164</v>
      </c>
      <c r="P6" s="187" t="s">
        <v>166</v>
      </c>
      <c r="Q6" s="187" t="s">
        <v>170</v>
      </c>
      <c r="R6" s="187" t="s">
        <v>174</v>
      </c>
      <c r="S6" s="187" t="s">
        <v>180</v>
      </c>
      <c r="T6" s="187" t="s">
        <v>186</v>
      </c>
      <c r="U6" s="187" t="s">
        <v>192</v>
      </c>
      <c r="V6" s="4" t="str">
        <f>"Indexes: "&amp;B6&amp;", "&amp;C6&amp;", "&amp;D6&amp;", "&amp;E6&amp;", "&amp;F6&amp;", "&amp;G6&amp;", "&amp;H6&amp;", "&amp;I6&amp;", "&amp;J6&amp;", "&amp;K6&amp;", "&amp;L6&amp;", "&amp;M6&amp;", "&amp;N6&amp;", "&amp;O6&amp;", "&amp;P6&amp;", "&amp;Q6&amp;", "&amp;R6&amp;", "&amp;S6&amp;", "&amp;T6&amp;", "&amp;U6</f>
        <v>Indexes: H510, H511, H513, H522, H515, H516, H518, H520, H716, H718, H719, H720, H721, H722, H723, H724, H726, H727, H728, H729</v>
      </c>
    </row>
    <row r="7" spans="1:22">
      <c r="A7" s="187"/>
      <c r="B7" s="187" t="s">
        <v>40</v>
      </c>
      <c r="C7" s="187" t="s">
        <v>50</v>
      </c>
      <c r="D7" s="187" t="s">
        <v>59</v>
      </c>
      <c r="E7" s="187" t="s">
        <v>67</v>
      </c>
      <c r="F7" s="187" t="s">
        <v>75</v>
      </c>
      <c r="G7" s="187" t="s">
        <v>83</v>
      </c>
      <c r="H7" s="187" t="s">
        <v>89</v>
      </c>
      <c r="I7" s="187" t="s">
        <v>98</v>
      </c>
      <c r="J7" s="187" t="s">
        <v>132</v>
      </c>
      <c r="K7" s="187" t="s">
        <v>138</v>
      </c>
      <c r="L7" s="187" t="s">
        <v>146</v>
      </c>
      <c r="M7" s="187" t="s">
        <v>154</v>
      </c>
      <c r="N7" s="187" t="s">
        <v>160</v>
      </c>
      <c r="O7" s="187" t="s">
        <v>164</v>
      </c>
      <c r="P7" s="187" t="s">
        <v>166</v>
      </c>
      <c r="Q7" s="187" t="s">
        <v>170</v>
      </c>
      <c r="R7" s="187" t="s">
        <v>174</v>
      </c>
      <c r="S7" s="187" t="s">
        <v>180</v>
      </c>
      <c r="T7" s="187" t="s">
        <v>186</v>
      </c>
      <c r="U7" s="187" t="s">
        <v>192</v>
      </c>
      <c r="V7" s="4" t="str">
        <f>"Indexes: "&amp;B7&amp;", "&amp;C7&amp;", "&amp;D7&amp;", "&amp;E7&amp;", "&amp;F7&amp;", "&amp;G7&amp;", "&amp;H7&amp;", "&amp;I7&amp;", "&amp;J7&amp;", "&amp;K7&amp;", "&amp;L7&amp;", "&amp;M7&amp;", "&amp;N7&amp;", "&amp;O7&amp;", "&amp;P7&amp;", "&amp;Q7&amp;", "&amp;R7&amp;", "&amp;S7&amp;", "&amp;T7&amp;", "&amp;U7</f>
        <v>Indexes: H503, H505, H506, H517, H502, H507, H508, H521, H716, H718, H719, H720, H721, H722, H723, H724, H726, H727, H728, H729</v>
      </c>
    </row>
    <row r="8" spans="1:22">
      <c r="A8" s="187"/>
      <c r="B8" s="187" t="s">
        <v>105</v>
      </c>
      <c r="C8" s="187" t="s">
        <v>112</v>
      </c>
      <c r="D8" s="187" t="s">
        <v>120</v>
      </c>
      <c r="E8" s="187" t="s">
        <v>128</v>
      </c>
      <c r="F8" s="187" t="s">
        <v>134</v>
      </c>
      <c r="G8" s="187" t="s">
        <v>140</v>
      </c>
      <c r="H8" s="187" t="s">
        <v>148</v>
      </c>
      <c r="I8" s="187" t="s">
        <v>156</v>
      </c>
      <c r="J8" s="188" t="s">
        <v>38</v>
      </c>
      <c r="K8" s="188" t="s">
        <v>48</v>
      </c>
      <c r="L8" s="188" t="s">
        <v>57</v>
      </c>
      <c r="M8" s="188" t="s">
        <v>65</v>
      </c>
      <c r="N8" s="188" t="s">
        <v>73</v>
      </c>
      <c r="O8" s="188" t="s">
        <v>81</v>
      </c>
      <c r="P8" s="188" t="s">
        <v>87</v>
      </c>
      <c r="Q8" s="188" t="s">
        <v>96</v>
      </c>
      <c r="R8" s="188" t="s">
        <v>103</v>
      </c>
      <c r="S8" s="188" t="s">
        <v>110</v>
      </c>
      <c r="T8" s="188" t="s">
        <v>118</v>
      </c>
      <c r="U8" s="188" t="s">
        <v>126</v>
      </c>
      <c r="V8" s="4" t="str">
        <f>"Indexes: "&amp;B8&amp;", "&amp;C8&amp;", "&amp;D8&amp;", "&amp;E8&amp;", "&amp;F8&amp;", "&amp;G8&amp;", "&amp;H8&amp;", "&amp;I8&amp;", "&amp;J8&amp;", "&amp;K8&amp;", "&amp;L8&amp;", "&amp;M8&amp;", "&amp;N8&amp;", "&amp;O8&amp;", "&amp;P8&amp;", "&amp;Q8&amp;", "&amp;R8&amp;", "&amp;S8&amp;", "&amp;T8&amp;", "&amp;U8</f>
        <v>Indexes: H510, H511, H513, H522, H515, H516, H518, H520, H705, H706, H707, H710, H711, H714, H701, H702, H703, H704, H712, H715</v>
      </c>
    </row>
    <row r="13" spans="1:22">
      <c r="A13" s="187" t="s">
        <v>341</v>
      </c>
    </row>
    <row r="14" spans="1:22">
      <c r="A14" s="187" t="s">
        <v>342</v>
      </c>
    </row>
  </sheetData>
  <sheetProtection algorithmName="SHA-512" hashValue="Dsq0+lfKKcm67pbr7BUthbjM8qh0vMi/A8PBF9KkWCzmBEH3VeSYr7eEBihQydYHPvU7KrReikwhjxHUU8zz6w==" saltValue="Pa41JkkXMciwqip34eTAxg==" spinCount="100000" sheet="1" objects="1" scenarios="1"/>
  <conditionalFormatting sqref="J2:U2">
    <cfRule type="duplicateValues" dxfId="30" priority="9"/>
  </conditionalFormatting>
  <conditionalFormatting sqref="P2:U2">
    <cfRule type="duplicateValues" dxfId="29" priority="8"/>
  </conditionalFormatting>
  <conditionalFormatting sqref="J3:O3">
    <cfRule type="duplicateValues" dxfId="28" priority="7"/>
  </conditionalFormatting>
  <conditionalFormatting sqref="J4:O4">
    <cfRule type="duplicateValues" dxfId="27" priority="6"/>
  </conditionalFormatting>
  <conditionalFormatting sqref="J4:O4">
    <cfRule type="duplicateValues" dxfId="26" priority="5"/>
  </conditionalFormatting>
  <conditionalFormatting sqref="J5:U5">
    <cfRule type="duplicateValues" dxfId="25" priority="4"/>
  </conditionalFormatting>
  <conditionalFormatting sqref="P5:U5">
    <cfRule type="duplicateValues" dxfId="24" priority="3"/>
  </conditionalFormatting>
  <conditionalFormatting sqref="J8:U8">
    <cfRule type="duplicateValues" dxfId="23" priority="2"/>
  </conditionalFormatting>
  <conditionalFormatting sqref="P8:U8">
    <cfRule type="duplicateValues" dxfId="22" priority="1"/>
  </conditionalFormatting>
  <pageMargins left="0.70866141732283472" right="0.70866141732283472" top="0.74803149606299213" bottom="0.74803149606299213" header="0.31496062992125984" footer="0.31496062992125984"/>
  <pageSetup scale="29" fitToHeight="0" orientation="portrait" r:id="rId1"/>
  <headerFooter>
    <oddHeader>&amp;R&amp;G</oddHeader>
    <oddFooter>&amp;L&amp;8Version: 1.0&amp;C&amp;8&amp;P of &amp;N&amp;R&amp;8Revidováno: září 2023</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DB4A7-FA62-493C-A731-3C1B91025BA4}">
  <sheetPr codeName="Sheet5"/>
  <dimension ref="A1:V114"/>
  <sheetViews>
    <sheetView zoomScaleNormal="100" workbookViewId="0">
      <selection sqref="A1:S1"/>
    </sheetView>
  </sheetViews>
  <sheetFormatPr defaultColWidth="8.77734375" defaultRowHeight="14.4"/>
  <cols>
    <col min="1" max="2" width="3.5546875" style="4" customWidth="1"/>
    <col min="3" max="18" width="7.44140625" style="4" customWidth="1"/>
    <col min="19" max="19" width="6.5546875" style="4" customWidth="1"/>
    <col min="20" max="20" width="3.21875" style="1" bestFit="1" customWidth="1"/>
    <col min="21" max="21" width="33.44140625" style="7" customWidth="1"/>
    <col min="22" max="16384" width="8.77734375" style="4"/>
  </cols>
  <sheetData>
    <row r="1" spans="1:22" s="15" customFormat="1" ht="21.6" thickBot="1">
      <c r="A1" s="198" t="s">
        <v>343</v>
      </c>
      <c r="B1" s="199"/>
      <c r="C1" s="199"/>
      <c r="D1" s="199"/>
      <c r="E1" s="199"/>
      <c r="F1" s="199"/>
      <c r="G1" s="199"/>
      <c r="H1" s="199"/>
      <c r="I1" s="199"/>
      <c r="J1" s="199"/>
      <c r="K1" s="199"/>
      <c r="L1" s="199"/>
      <c r="M1" s="199"/>
      <c r="N1" s="200"/>
      <c r="O1" s="200"/>
      <c r="P1" s="200"/>
      <c r="Q1" s="200"/>
      <c r="R1" s="200"/>
      <c r="S1" s="200"/>
      <c r="T1" s="1"/>
      <c r="U1" s="174" t="s">
        <v>344</v>
      </c>
      <c r="V1" s="175"/>
    </row>
    <row r="2" spans="1:22">
      <c r="T2" s="1">
        <v>1</v>
      </c>
      <c r="U2" s="180"/>
    </row>
    <row r="3" spans="1:22">
      <c r="C3" s="4" t="s">
        <v>345</v>
      </c>
      <c r="T3" s="1">
        <v>2</v>
      </c>
      <c r="U3" s="181"/>
    </row>
    <row r="4" spans="1:22">
      <c r="C4" s="20" t="s">
        <v>346</v>
      </c>
      <c r="T4" s="1">
        <v>3</v>
      </c>
      <c r="U4" s="181"/>
    </row>
    <row r="5" spans="1:22">
      <c r="B5" s="4">
        <v>1</v>
      </c>
      <c r="C5" s="4" t="s">
        <v>347</v>
      </c>
      <c r="T5" s="1">
        <v>4</v>
      </c>
      <c r="U5" s="181"/>
    </row>
    <row r="6" spans="1:22">
      <c r="B6" s="4">
        <v>2</v>
      </c>
      <c r="C6" s="4" t="s">
        <v>348</v>
      </c>
      <c r="T6" s="1">
        <v>5</v>
      </c>
      <c r="U6" s="181"/>
    </row>
    <row r="7" spans="1:22">
      <c r="B7" s="4">
        <v>3</v>
      </c>
      <c r="C7" s="4" t="s">
        <v>349</v>
      </c>
      <c r="T7" s="1">
        <v>6</v>
      </c>
      <c r="U7" s="181"/>
    </row>
    <row r="8" spans="1:22">
      <c r="B8" s="4">
        <v>4</v>
      </c>
      <c r="C8" s="4" t="s">
        <v>350</v>
      </c>
      <c r="N8" s="32"/>
      <c r="T8" s="1">
        <v>7</v>
      </c>
      <c r="U8" s="181"/>
    </row>
    <row r="9" spans="1:22">
      <c r="B9" s="4">
        <v>5</v>
      </c>
      <c r="C9" s="4" t="s">
        <v>351</v>
      </c>
      <c r="O9" s="133">
        <v>1</v>
      </c>
      <c r="T9" s="1">
        <v>8</v>
      </c>
      <c r="U9" s="181"/>
    </row>
    <row r="10" spans="1:22">
      <c r="B10" s="4">
        <v>6</v>
      </c>
      <c r="C10" s="4" t="s">
        <v>352</v>
      </c>
      <c r="T10" s="1">
        <v>9</v>
      </c>
      <c r="U10" s="181"/>
    </row>
    <row r="11" spans="1:22">
      <c r="C11" s="4" t="s">
        <v>353</v>
      </c>
      <c r="T11" s="1">
        <v>10</v>
      </c>
      <c r="U11" s="181"/>
    </row>
    <row r="12" spans="1:22">
      <c r="B12" s="4">
        <v>7</v>
      </c>
      <c r="C12" s="4" t="s">
        <v>354</v>
      </c>
      <c r="T12" s="1">
        <v>11</v>
      </c>
      <c r="U12" s="181"/>
    </row>
    <row r="13" spans="1:22">
      <c r="B13" s="4">
        <v>8</v>
      </c>
      <c r="C13" s="4" t="s">
        <v>355</v>
      </c>
      <c r="T13" s="1">
        <v>12</v>
      </c>
      <c r="U13" s="181"/>
    </row>
    <row r="14" spans="1:22">
      <c r="E14" s="139"/>
      <c r="T14" s="1">
        <v>13</v>
      </c>
      <c r="U14" s="181"/>
    </row>
    <row r="15" spans="1:22" s="139" customFormat="1">
      <c r="A15" s="4"/>
      <c r="B15" s="4"/>
      <c r="C15" s="4" t="s">
        <v>356</v>
      </c>
      <c r="D15" s="4"/>
      <c r="E15" s="4"/>
      <c r="F15" s="4" t="s">
        <v>357</v>
      </c>
      <c r="G15" s="4"/>
      <c r="H15" s="4"/>
      <c r="I15" s="4"/>
      <c r="J15" s="4"/>
      <c r="K15" s="4"/>
      <c r="L15" s="4"/>
      <c r="M15" s="4"/>
      <c r="N15" s="4"/>
      <c r="O15" s="4"/>
      <c r="P15" s="4"/>
      <c r="Q15" s="4"/>
      <c r="R15" s="4"/>
      <c r="S15" s="4"/>
      <c r="T15" s="1">
        <v>14</v>
      </c>
      <c r="U15" s="182"/>
    </row>
    <row r="16" spans="1:22" s="139" customFormat="1">
      <c r="A16" s="4"/>
      <c r="B16" s="4"/>
      <c r="C16" s="4"/>
      <c r="D16" s="4"/>
      <c r="E16" s="4"/>
      <c r="F16" s="4"/>
      <c r="G16" s="4"/>
      <c r="H16" s="4"/>
      <c r="I16" s="4"/>
      <c r="J16" s="4"/>
      <c r="K16" s="4"/>
      <c r="L16" s="4"/>
      <c r="M16" s="4"/>
      <c r="N16" s="4"/>
      <c r="O16" s="4"/>
      <c r="P16" s="4"/>
      <c r="Q16" s="4"/>
      <c r="R16" s="4"/>
      <c r="S16" s="4"/>
      <c r="T16" s="1">
        <v>15</v>
      </c>
      <c r="U16" s="182"/>
    </row>
    <row r="17" spans="1:21" s="139" customFormat="1">
      <c r="A17" s="4"/>
      <c r="B17" s="4"/>
      <c r="C17" s="4"/>
      <c r="D17" s="4"/>
      <c r="E17" s="4"/>
      <c r="F17" s="4"/>
      <c r="G17" s="4"/>
      <c r="H17" s="4"/>
      <c r="I17" s="4"/>
      <c r="J17" s="4"/>
      <c r="K17" s="4"/>
      <c r="L17" s="4"/>
      <c r="M17" s="4"/>
      <c r="N17" s="4"/>
      <c r="O17" s="4"/>
      <c r="P17" s="4"/>
      <c r="Q17" s="4"/>
      <c r="R17" s="4"/>
      <c r="S17" s="4"/>
      <c r="T17" s="1">
        <v>16</v>
      </c>
      <c r="U17" s="182"/>
    </row>
    <row r="18" spans="1:21" s="139" customFormat="1">
      <c r="A18" s="4"/>
      <c r="B18" s="4"/>
      <c r="C18" s="4"/>
      <c r="D18" s="4"/>
      <c r="E18" s="4"/>
      <c r="F18" s="4"/>
      <c r="G18" s="4"/>
      <c r="H18" s="4"/>
      <c r="I18" s="4"/>
      <c r="J18" s="4"/>
      <c r="K18" s="4"/>
      <c r="L18" s="4"/>
      <c r="M18" s="4"/>
      <c r="N18" s="4"/>
      <c r="O18" s="4"/>
      <c r="P18" s="4"/>
      <c r="Q18" s="4"/>
      <c r="R18" s="4"/>
      <c r="S18" s="4"/>
      <c r="T18" s="1">
        <v>17</v>
      </c>
      <c r="U18" s="182"/>
    </row>
    <row r="19" spans="1:21">
      <c r="T19" s="1">
        <v>18</v>
      </c>
      <c r="U19" s="181"/>
    </row>
    <row r="20" spans="1:21" ht="18">
      <c r="A20" s="201" t="s">
        <v>358</v>
      </c>
      <c r="B20" s="201"/>
      <c r="C20" s="201"/>
      <c r="D20" s="201"/>
      <c r="E20" s="201"/>
      <c r="F20" s="201"/>
      <c r="G20" s="201"/>
      <c r="H20" s="201"/>
      <c r="I20" s="201"/>
      <c r="J20" s="201"/>
      <c r="K20" s="201"/>
      <c r="L20" s="201"/>
      <c r="M20" s="201"/>
      <c r="N20" s="201"/>
      <c r="O20" s="201"/>
      <c r="P20" s="201"/>
      <c r="Q20" s="201"/>
      <c r="R20" s="201"/>
      <c r="S20" s="201"/>
      <c r="T20" s="1">
        <v>19</v>
      </c>
      <c r="U20" s="181"/>
    </row>
    <row r="21" spans="1:21">
      <c r="T21" s="1">
        <v>20</v>
      </c>
      <c r="U21" s="181"/>
    </row>
    <row r="22" spans="1:21">
      <c r="C22" s="139"/>
      <c r="D22" s="139"/>
      <c r="E22" s="176"/>
      <c r="F22" s="176"/>
      <c r="G22" s="176"/>
      <c r="H22" s="176"/>
      <c r="I22" s="176"/>
      <c r="J22" s="176"/>
      <c r="K22" s="139"/>
      <c r="L22" s="139"/>
      <c r="M22" s="139"/>
      <c r="N22" s="139"/>
      <c r="T22" s="1">
        <v>21</v>
      </c>
      <c r="U22" s="181"/>
    </row>
    <row r="23" spans="1:21">
      <c r="A23" s="139"/>
      <c r="B23" s="15"/>
      <c r="C23" s="139"/>
      <c r="D23" s="139"/>
      <c r="E23" s="176"/>
      <c r="F23" s="176"/>
      <c r="G23" s="176"/>
      <c r="H23" s="176"/>
      <c r="I23" s="176"/>
      <c r="J23" s="176"/>
      <c r="K23" s="139"/>
      <c r="L23" s="139"/>
      <c r="M23" s="139"/>
      <c r="N23" s="139"/>
      <c r="O23" s="139"/>
      <c r="P23" s="139"/>
      <c r="Q23" s="139"/>
      <c r="R23" s="139"/>
      <c r="S23" s="139"/>
      <c r="T23" s="1">
        <v>22</v>
      </c>
      <c r="U23" s="181"/>
    </row>
    <row r="24" spans="1:21">
      <c r="A24" s="139"/>
      <c r="B24" s="15"/>
      <c r="C24" s="139"/>
      <c r="D24" s="139"/>
      <c r="E24" s="176"/>
      <c r="F24" s="176"/>
      <c r="G24" s="176"/>
      <c r="H24" s="176"/>
      <c r="I24" s="176"/>
      <c r="J24" s="176"/>
      <c r="K24" s="139"/>
      <c r="L24" s="139"/>
      <c r="M24" s="139"/>
      <c r="N24" s="139"/>
      <c r="O24" s="139"/>
      <c r="P24" s="139"/>
      <c r="Q24" s="139"/>
      <c r="R24" s="139"/>
      <c r="S24" s="139"/>
      <c r="T24" s="1">
        <v>23</v>
      </c>
      <c r="U24" s="181"/>
    </row>
    <row r="25" spans="1:21" ht="14.55" customHeight="1">
      <c r="A25" s="139"/>
      <c r="B25" s="15"/>
      <c r="C25" s="139"/>
      <c r="D25" s="139"/>
      <c r="E25" s="176"/>
      <c r="F25" s="176"/>
      <c r="G25" s="176"/>
      <c r="H25" s="176"/>
      <c r="I25" s="176"/>
      <c r="J25" s="176"/>
      <c r="K25" s="139"/>
      <c r="L25" s="139"/>
      <c r="M25" s="139"/>
      <c r="N25" s="139"/>
      <c r="O25" s="139"/>
      <c r="P25" s="139"/>
      <c r="Q25" s="139"/>
      <c r="R25" s="139"/>
      <c r="S25" s="139"/>
      <c r="T25" s="1">
        <v>24</v>
      </c>
      <c r="U25" s="181"/>
    </row>
    <row r="26" spans="1:21">
      <c r="A26" s="139"/>
      <c r="B26" s="15"/>
      <c r="O26" s="139"/>
      <c r="P26" s="139"/>
      <c r="Q26" s="139"/>
      <c r="R26" s="139"/>
      <c r="S26" s="139"/>
      <c r="T26" s="1">
        <v>25</v>
      </c>
      <c r="U26" s="181"/>
    </row>
    <row r="27" spans="1:21">
      <c r="T27" s="1">
        <v>26</v>
      </c>
      <c r="U27" s="181"/>
    </row>
    <row r="28" spans="1:21">
      <c r="T28" s="1">
        <v>27</v>
      </c>
      <c r="U28" s="182"/>
    </row>
    <row r="29" spans="1:21">
      <c r="T29" s="1">
        <v>28</v>
      </c>
      <c r="U29" s="182"/>
    </row>
    <row r="30" spans="1:21">
      <c r="T30" s="1">
        <v>29</v>
      </c>
      <c r="U30" s="182"/>
    </row>
    <row r="31" spans="1:21">
      <c r="B31" s="15"/>
      <c r="T31" s="1">
        <v>30</v>
      </c>
      <c r="U31" s="182"/>
    </row>
    <row r="32" spans="1:21">
      <c r="B32" s="15"/>
      <c r="T32" s="1">
        <v>31</v>
      </c>
      <c r="U32" s="182"/>
    </row>
    <row r="33" spans="2:21">
      <c r="B33" s="15"/>
      <c r="T33" s="1">
        <v>32</v>
      </c>
      <c r="U33" s="182"/>
    </row>
    <row r="34" spans="2:21">
      <c r="B34" s="15"/>
      <c r="T34" s="1">
        <v>33</v>
      </c>
      <c r="U34" s="182"/>
    </row>
    <row r="35" spans="2:21">
      <c r="T35" s="1">
        <v>34</v>
      </c>
      <c r="U35" s="182"/>
    </row>
    <row r="36" spans="2:21">
      <c r="T36" s="1">
        <v>35</v>
      </c>
      <c r="U36" s="182"/>
    </row>
    <row r="37" spans="2:21">
      <c r="T37" s="1">
        <v>36</v>
      </c>
      <c r="U37" s="182"/>
    </row>
    <row r="38" spans="2:21">
      <c r="T38" s="1">
        <v>37</v>
      </c>
      <c r="U38" s="182"/>
    </row>
    <row r="39" spans="2:21">
      <c r="B39" s="15"/>
      <c r="T39" s="1">
        <v>38</v>
      </c>
      <c r="U39" s="182"/>
    </row>
    <row r="40" spans="2:21">
      <c r="B40" s="15"/>
      <c r="T40" s="1">
        <v>39</v>
      </c>
      <c r="U40" s="182"/>
    </row>
    <row r="41" spans="2:21">
      <c r="B41" s="15"/>
      <c r="T41" s="1">
        <v>40</v>
      </c>
      <c r="U41" s="182"/>
    </row>
    <row r="42" spans="2:21">
      <c r="B42" s="15"/>
      <c r="T42" s="1">
        <v>41</v>
      </c>
      <c r="U42" s="182"/>
    </row>
    <row r="43" spans="2:21">
      <c r="T43" s="1">
        <v>42</v>
      </c>
      <c r="U43" s="182"/>
    </row>
    <row r="44" spans="2:21">
      <c r="T44" s="1">
        <v>43</v>
      </c>
      <c r="U44" s="182"/>
    </row>
    <row r="45" spans="2:21">
      <c r="T45" s="1">
        <v>44</v>
      </c>
      <c r="U45" s="182"/>
    </row>
    <row r="46" spans="2:21">
      <c r="T46" s="1">
        <v>45</v>
      </c>
      <c r="U46" s="182"/>
    </row>
    <row r="47" spans="2:21">
      <c r="B47" s="15"/>
      <c r="T47" s="1">
        <v>46</v>
      </c>
      <c r="U47" s="182"/>
    </row>
    <row r="48" spans="2:21">
      <c r="B48" s="15"/>
      <c r="T48" s="1">
        <v>47</v>
      </c>
      <c r="U48" s="182"/>
    </row>
    <row r="49" spans="2:21">
      <c r="B49" s="15"/>
      <c r="T49" s="1">
        <v>48</v>
      </c>
      <c r="U49" s="182"/>
    </row>
    <row r="50" spans="2:21">
      <c r="B50" s="15"/>
      <c r="T50" s="1">
        <v>49</v>
      </c>
      <c r="U50" s="182"/>
    </row>
    <row r="51" spans="2:21">
      <c r="T51" s="1">
        <v>50</v>
      </c>
      <c r="U51" s="182"/>
    </row>
    <row r="52" spans="2:21">
      <c r="T52" s="1">
        <v>51</v>
      </c>
      <c r="U52" s="182"/>
    </row>
    <row r="53" spans="2:21">
      <c r="T53" s="1">
        <v>52</v>
      </c>
      <c r="U53" s="182"/>
    </row>
    <row r="54" spans="2:21">
      <c r="T54" s="1">
        <v>53</v>
      </c>
      <c r="U54" s="182"/>
    </row>
    <row r="55" spans="2:21">
      <c r="B55" s="15"/>
      <c r="T55" s="1">
        <v>54</v>
      </c>
      <c r="U55" s="182"/>
    </row>
    <row r="56" spans="2:21">
      <c r="B56" s="15"/>
      <c r="T56" s="1">
        <v>55</v>
      </c>
      <c r="U56" s="182"/>
    </row>
    <row r="57" spans="2:21">
      <c r="B57" s="15"/>
      <c r="T57" s="1">
        <v>56</v>
      </c>
      <c r="U57" s="182"/>
    </row>
    <row r="58" spans="2:21">
      <c r="B58" s="15"/>
      <c r="T58" s="1">
        <v>57</v>
      </c>
      <c r="U58" s="182"/>
    </row>
    <row r="59" spans="2:21">
      <c r="T59" s="1">
        <v>58</v>
      </c>
      <c r="U59" s="182"/>
    </row>
    <row r="60" spans="2:21">
      <c r="T60" s="1">
        <v>59</v>
      </c>
      <c r="U60" s="182"/>
    </row>
    <row r="61" spans="2:21">
      <c r="T61" s="1">
        <v>60</v>
      </c>
      <c r="U61" s="182"/>
    </row>
    <row r="62" spans="2:21">
      <c r="T62" s="1">
        <v>61</v>
      </c>
      <c r="U62" s="182"/>
    </row>
    <row r="63" spans="2:21">
      <c r="B63" s="15"/>
      <c r="T63" s="1">
        <v>62</v>
      </c>
      <c r="U63" s="182"/>
    </row>
    <row r="64" spans="2:21">
      <c r="B64" s="15"/>
      <c r="T64" s="1">
        <v>63</v>
      </c>
      <c r="U64" s="182"/>
    </row>
    <row r="65" spans="2:21">
      <c r="B65" s="15"/>
      <c r="T65" s="1">
        <v>64</v>
      </c>
      <c r="U65" s="182"/>
    </row>
    <row r="66" spans="2:21">
      <c r="B66" s="15"/>
      <c r="T66" s="1">
        <v>65</v>
      </c>
      <c r="U66" s="182"/>
    </row>
    <row r="67" spans="2:21">
      <c r="T67" s="1">
        <v>66</v>
      </c>
      <c r="U67" s="182"/>
    </row>
    <row r="68" spans="2:21">
      <c r="T68" s="1">
        <v>67</v>
      </c>
      <c r="U68" s="182"/>
    </row>
    <row r="69" spans="2:21">
      <c r="T69" s="1">
        <v>68</v>
      </c>
      <c r="U69" s="182"/>
    </row>
    <row r="70" spans="2:21">
      <c r="T70" s="1">
        <v>69</v>
      </c>
      <c r="U70" s="182"/>
    </row>
    <row r="71" spans="2:21">
      <c r="B71" s="15"/>
      <c r="T71" s="1">
        <v>70</v>
      </c>
      <c r="U71" s="182"/>
    </row>
    <row r="72" spans="2:21">
      <c r="B72" s="15"/>
      <c r="T72" s="1">
        <v>71</v>
      </c>
      <c r="U72" s="182"/>
    </row>
    <row r="73" spans="2:21">
      <c r="B73" s="15"/>
      <c r="T73" s="1">
        <v>72</v>
      </c>
      <c r="U73" s="182"/>
    </row>
    <row r="74" spans="2:21">
      <c r="B74" s="15"/>
      <c r="T74" s="1">
        <v>73</v>
      </c>
      <c r="U74" s="182"/>
    </row>
    <row r="75" spans="2:21">
      <c r="T75" s="1">
        <v>74</v>
      </c>
      <c r="U75" s="182"/>
    </row>
    <row r="76" spans="2:21">
      <c r="T76" s="1">
        <v>75</v>
      </c>
      <c r="U76" s="182"/>
    </row>
    <row r="77" spans="2:21">
      <c r="T77" s="1">
        <v>76</v>
      </c>
      <c r="U77" s="182"/>
    </row>
    <row r="78" spans="2:21">
      <c r="T78" s="1">
        <v>77</v>
      </c>
      <c r="U78" s="182"/>
    </row>
    <row r="79" spans="2:21">
      <c r="B79" s="15"/>
      <c r="T79" s="1">
        <v>78</v>
      </c>
      <c r="U79" s="182"/>
    </row>
    <row r="80" spans="2:21">
      <c r="B80" s="15"/>
      <c r="T80" s="1">
        <v>79</v>
      </c>
      <c r="U80" s="182"/>
    </row>
    <row r="81" spans="2:21">
      <c r="B81" s="15"/>
      <c r="T81" s="1">
        <v>80</v>
      </c>
      <c r="U81" s="182"/>
    </row>
    <row r="82" spans="2:21">
      <c r="B82" s="15"/>
      <c r="T82" s="1">
        <v>81</v>
      </c>
      <c r="U82" s="182"/>
    </row>
    <row r="83" spans="2:21">
      <c r="T83" s="1">
        <v>82</v>
      </c>
      <c r="U83" s="182"/>
    </row>
    <row r="84" spans="2:21">
      <c r="T84" s="1">
        <v>83</v>
      </c>
      <c r="U84" s="182"/>
    </row>
    <row r="85" spans="2:21">
      <c r="T85" s="1">
        <v>84</v>
      </c>
      <c r="U85" s="182"/>
    </row>
    <row r="86" spans="2:21">
      <c r="T86" s="1">
        <v>85</v>
      </c>
      <c r="U86" s="182"/>
    </row>
    <row r="87" spans="2:21">
      <c r="B87" s="15"/>
      <c r="T87" s="1">
        <v>86</v>
      </c>
      <c r="U87" s="182"/>
    </row>
    <row r="88" spans="2:21">
      <c r="B88" s="15"/>
      <c r="T88" s="1">
        <v>87</v>
      </c>
      <c r="U88" s="182"/>
    </row>
    <row r="89" spans="2:21">
      <c r="B89" s="15"/>
      <c r="T89" s="1">
        <v>88</v>
      </c>
      <c r="U89" s="182"/>
    </row>
    <row r="90" spans="2:21">
      <c r="B90" s="15"/>
      <c r="T90" s="1">
        <v>89</v>
      </c>
      <c r="U90" s="182"/>
    </row>
    <row r="91" spans="2:21">
      <c r="T91" s="1">
        <v>90</v>
      </c>
      <c r="U91" s="182"/>
    </row>
    <row r="92" spans="2:21">
      <c r="T92" s="1">
        <v>91</v>
      </c>
      <c r="U92" s="182"/>
    </row>
    <row r="93" spans="2:21">
      <c r="T93" s="1">
        <v>92</v>
      </c>
      <c r="U93" s="182"/>
    </row>
    <row r="94" spans="2:21">
      <c r="T94" s="1">
        <v>93</v>
      </c>
      <c r="U94" s="182"/>
    </row>
    <row r="95" spans="2:21">
      <c r="B95" s="15"/>
      <c r="T95" s="1">
        <v>94</v>
      </c>
      <c r="U95" s="182"/>
    </row>
    <row r="96" spans="2:21">
      <c r="B96" s="15"/>
      <c r="T96" s="1">
        <v>95</v>
      </c>
      <c r="U96" s="182"/>
    </row>
    <row r="97" spans="2:21">
      <c r="B97" s="15"/>
      <c r="T97" s="1">
        <v>96</v>
      </c>
      <c r="U97" s="182"/>
    </row>
    <row r="98" spans="2:21">
      <c r="B98" s="15"/>
    </row>
    <row r="103" spans="2:21">
      <c r="B103" s="15"/>
    </row>
    <row r="104" spans="2:21">
      <c r="B104" s="15"/>
    </row>
    <row r="105" spans="2:21">
      <c r="B105" s="15"/>
    </row>
    <row r="106" spans="2:21">
      <c r="B106" s="15"/>
    </row>
    <row r="109" spans="2:21">
      <c r="D109"/>
    </row>
    <row r="111" spans="2:21">
      <c r="B111" s="15"/>
    </row>
    <row r="112" spans="2:21">
      <c r="B112" s="15"/>
    </row>
    <row r="113" spans="2:2">
      <c r="B113" s="15"/>
    </row>
    <row r="114" spans="2:2">
      <c r="B114" s="15"/>
    </row>
  </sheetData>
  <sheetProtection algorithmName="SHA-512" hashValue="qp0fGz8zOciGxAOq/pvQknnN05eol5BP8K6ZZ+bv6QvY2vg3H5J8//kSbeWiuAZRosMjAbnvnRF85tgVlGf8ew==" saltValue="lPvitxd0xkQrl39je/NGkA==" spinCount="100000" sheet="1" objects="1" scenarios="1"/>
  <mergeCells count="2">
    <mergeCell ref="A1:S1"/>
    <mergeCell ref="A20:S20"/>
  </mergeCells>
  <conditionalFormatting sqref="E22:J25">
    <cfRule type="cellIs" dxfId="21" priority="1" operator="equal">
      <formula>0</formula>
    </cfRule>
  </conditionalFormatting>
  <pageMargins left="0.70866141732283472" right="0.70866141732283472" top="0.74803149606299213" bottom="0.74803149606299213" header="0.31496062992125984" footer="0.31496062992125984"/>
  <pageSetup scale="53" fitToHeight="0" orientation="portrait" r:id="rId1"/>
  <headerFooter>
    <oddHeader>&amp;R&amp;G</oddHeader>
    <oddFooter>&amp;L&amp;8Version: 1.0&amp;C&amp;8&amp;P of &amp;N&amp;R&amp;8Revidováno: září 2023</oddFooter>
  </headerFooter>
  <drawing r:id="rId2"/>
  <legacyDrawing r:id="rId3"/>
  <legacyDrawingHF r:id="rId4"/>
  <controls>
    <mc:AlternateContent xmlns:mc="http://schemas.openxmlformats.org/markup-compatibility/2006">
      <mc:Choice Requires="x14">
        <control shapeId="3079" r:id="rId5" name="CommandButton2">
          <controlPr defaultSize="0" autoLine="0" r:id="rId6">
            <anchor moveWithCells="1">
              <from>
                <xdr:col>13</xdr:col>
                <xdr:colOff>106680</xdr:colOff>
                <xdr:row>12</xdr:row>
                <xdr:rowOff>137160</xdr:rowOff>
              </from>
              <to>
                <xdr:col>16</xdr:col>
                <xdr:colOff>373380</xdr:colOff>
                <xdr:row>17</xdr:row>
                <xdr:rowOff>22860</xdr:rowOff>
              </to>
            </anchor>
          </controlPr>
        </control>
      </mc:Choice>
      <mc:Fallback>
        <control shapeId="3079" r:id="rId5" name="CommandButton2"/>
      </mc:Fallback>
    </mc:AlternateContent>
    <mc:AlternateContent xmlns:mc="http://schemas.openxmlformats.org/markup-compatibility/2006">
      <mc:Choice Requires="x14">
        <control shapeId="3077" r:id="rId7" name="CommandButton1">
          <controlPr defaultSize="0" autoLine="0" r:id="rId8">
            <anchor moveWithCells="1">
              <from>
                <xdr:col>13</xdr:col>
                <xdr:colOff>114300</xdr:colOff>
                <xdr:row>6</xdr:row>
                <xdr:rowOff>91440</xdr:rowOff>
              </from>
              <to>
                <xdr:col>16</xdr:col>
                <xdr:colOff>373380</xdr:colOff>
                <xdr:row>10</xdr:row>
                <xdr:rowOff>175260</xdr:rowOff>
              </to>
            </anchor>
          </controlPr>
        </control>
      </mc:Choice>
      <mc:Fallback>
        <control shapeId="3077" r:id="rId7" name="CommandButton1"/>
      </mc:Fallback>
    </mc:AlternateContent>
    <mc:AlternateContent xmlns:mc="http://schemas.openxmlformats.org/markup-compatibility/2006">
      <mc:Choice Requires="x14">
        <control shapeId="3076" r:id="rId9" name="ComboBox2">
          <controlPr locked="0" defaultSize="0" autoLine="0" autoPict="0" r:id="rId10">
            <anchor moveWithCells="1">
              <from>
                <xdr:col>5</xdr:col>
                <xdr:colOff>259080</xdr:colOff>
                <xdr:row>15</xdr:row>
                <xdr:rowOff>129540</xdr:rowOff>
              </from>
              <to>
                <xdr:col>6</xdr:col>
                <xdr:colOff>411480</xdr:colOff>
                <xdr:row>17</xdr:row>
                <xdr:rowOff>7620</xdr:rowOff>
              </to>
            </anchor>
          </controlPr>
        </control>
      </mc:Choice>
      <mc:Fallback>
        <control shapeId="3076" r:id="rId9" name="ComboBox2"/>
      </mc:Fallback>
    </mc:AlternateContent>
    <mc:AlternateContent xmlns:mc="http://schemas.openxmlformats.org/markup-compatibility/2006">
      <mc:Choice Requires="x14">
        <control shapeId="3075" r:id="rId11" name="ComboBox1">
          <controlPr locked="0" defaultSize="0" autoLine="0" listFillRange="Kits" r:id="rId12">
            <anchor moveWithCells="1">
              <from>
                <xdr:col>2</xdr:col>
                <xdr:colOff>152400</xdr:colOff>
                <xdr:row>15</xdr:row>
                <xdr:rowOff>129540</xdr:rowOff>
              </from>
              <to>
                <xdr:col>3</xdr:col>
                <xdr:colOff>350520</xdr:colOff>
                <xdr:row>17</xdr:row>
                <xdr:rowOff>38100</xdr:rowOff>
              </to>
            </anchor>
          </controlPr>
        </control>
      </mc:Choice>
      <mc:Fallback>
        <control shapeId="3075" r:id="rId11" name="ComboBox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123"/>
  <sheetViews>
    <sheetView zoomScale="85" zoomScaleNormal="85" zoomScalePageLayoutView="90" workbookViewId="0">
      <selection sqref="A1:S1"/>
    </sheetView>
  </sheetViews>
  <sheetFormatPr defaultColWidth="8.5546875" defaultRowHeight="14.4"/>
  <cols>
    <col min="1" max="1" width="2.5546875" style="4" customWidth="1"/>
    <col min="2" max="3" width="3.5546875" style="4" customWidth="1"/>
    <col min="4" max="4" width="8" style="4" customWidth="1"/>
    <col min="5" max="5" width="14.44140625" style="4" customWidth="1"/>
    <col min="6" max="6" width="15.5546875" style="4" customWidth="1"/>
    <col min="7" max="18" width="14.44140625" style="4" customWidth="1"/>
    <col min="19" max="19" width="2.77734375" style="4" customWidth="1"/>
    <col min="20" max="16384" width="8.5546875" style="4"/>
  </cols>
  <sheetData>
    <row r="1" spans="1:19" s="15" customFormat="1" ht="18">
      <c r="A1" s="198" t="s">
        <v>359</v>
      </c>
      <c r="B1" s="199"/>
      <c r="C1" s="199"/>
      <c r="D1" s="199"/>
      <c r="E1" s="199"/>
      <c r="F1" s="199"/>
      <c r="G1" s="199"/>
      <c r="H1" s="199"/>
      <c r="I1" s="199"/>
      <c r="J1" s="199"/>
      <c r="K1" s="199"/>
      <c r="L1" s="199"/>
      <c r="M1" s="199"/>
      <c r="N1" s="200"/>
      <c r="O1" s="200"/>
      <c r="P1" s="200"/>
      <c r="Q1" s="200"/>
      <c r="R1" s="200"/>
      <c r="S1" s="200"/>
    </row>
    <row r="2" spans="1:19">
      <c r="C2" s="5"/>
    </row>
    <row r="3" spans="1:19">
      <c r="B3" s="206" t="s">
        <v>360</v>
      </c>
      <c r="C3" s="207"/>
      <c r="D3" s="207"/>
      <c r="E3" s="218" t="s">
        <v>361</v>
      </c>
      <c r="F3" s="223"/>
      <c r="I3" s="225" t="s">
        <v>362</v>
      </c>
      <c r="J3" s="226"/>
      <c r="K3" s="226"/>
      <c r="L3" s="226"/>
      <c r="M3" s="227"/>
    </row>
    <row r="4" spans="1:19">
      <c r="B4" s="206" t="s">
        <v>363</v>
      </c>
      <c r="C4" s="207"/>
      <c r="D4" s="207"/>
      <c r="E4" s="218" t="s">
        <v>361</v>
      </c>
      <c r="F4" s="223"/>
      <c r="I4" s="220" t="s">
        <v>364</v>
      </c>
      <c r="J4" s="221"/>
      <c r="K4" s="221"/>
      <c r="L4" s="221"/>
      <c r="M4" s="222"/>
    </row>
    <row r="5" spans="1:19">
      <c r="B5" s="206" t="s">
        <v>365</v>
      </c>
      <c r="C5" s="207"/>
      <c r="D5" s="207"/>
      <c r="E5" s="224" t="s">
        <v>33</v>
      </c>
      <c r="F5" s="223"/>
      <c r="I5" s="203" t="s">
        <v>366</v>
      </c>
      <c r="J5" s="204"/>
      <c r="K5" s="204"/>
      <c r="L5" s="204"/>
      <c r="M5" s="205"/>
    </row>
    <row r="6" spans="1:19">
      <c r="B6" s="206" t="s">
        <v>367</v>
      </c>
      <c r="C6" s="206"/>
      <c r="D6" s="206"/>
      <c r="E6" s="224" t="s">
        <v>33</v>
      </c>
      <c r="F6" s="223"/>
    </row>
    <row r="7" spans="1:19">
      <c r="B7" s="206" t="s">
        <v>368</v>
      </c>
      <c r="C7" s="206"/>
      <c r="D7" s="206"/>
      <c r="E7" s="216">
        <f>COUNTIF(G24:R31,"*")+COUNT(G24:R31)-COUNTIF(G24:R31,0)-COUNTIF(G24:R31," ")</f>
        <v>0</v>
      </c>
      <c r="F7" s="217"/>
    </row>
    <row r="8" spans="1:19">
      <c r="B8" s="206" t="s">
        <v>369</v>
      </c>
      <c r="C8" s="207"/>
      <c r="D8" s="207"/>
      <c r="E8" s="218" t="s">
        <v>361</v>
      </c>
      <c r="F8" s="218"/>
    </row>
    <row r="9" spans="1:19">
      <c r="A9" s="5"/>
      <c r="B9" s="206" t="s">
        <v>370</v>
      </c>
      <c r="C9" s="206"/>
      <c r="D9" s="206"/>
      <c r="E9" s="219" t="s">
        <v>361</v>
      </c>
      <c r="F9" s="219"/>
    </row>
    <row r="10" spans="1:19">
      <c r="C10" s="6"/>
      <c r="D10" s="7"/>
      <c r="E10" s="7"/>
    </row>
    <row r="11" spans="1:19" ht="18">
      <c r="A11" s="201" t="s">
        <v>371</v>
      </c>
      <c r="B11" s="202"/>
      <c r="C11" s="202"/>
      <c r="D11" s="202"/>
      <c r="E11" s="202"/>
      <c r="F11" s="202"/>
      <c r="G11" s="202"/>
      <c r="H11" s="202"/>
      <c r="I11" s="202"/>
      <c r="J11" s="202"/>
      <c r="K11" s="202"/>
      <c r="L11" s="202"/>
      <c r="M11" s="202"/>
      <c r="N11" s="200"/>
      <c r="O11" s="200"/>
      <c r="P11" s="200"/>
      <c r="Q11" s="200"/>
      <c r="R11" s="200"/>
      <c r="S11" s="200"/>
    </row>
    <row r="12" spans="1:19">
      <c r="A12" s="8"/>
      <c r="B12" s="8"/>
    </row>
    <row r="13" spans="1:19">
      <c r="A13" s="8"/>
      <c r="B13" s="71"/>
      <c r="C13" s="4">
        <v>1</v>
      </c>
      <c r="D13" s="4" t="s">
        <v>372</v>
      </c>
    </row>
    <row r="14" spans="1:19">
      <c r="A14" s="8"/>
      <c r="B14" s="71"/>
      <c r="C14" s="4">
        <v>2</v>
      </c>
      <c r="D14" s="4" t="s">
        <v>373</v>
      </c>
    </row>
    <row r="15" spans="1:19">
      <c r="A15" s="8"/>
      <c r="B15" s="71"/>
      <c r="C15" s="4">
        <v>3</v>
      </c>
      <c r="D15" s="4" t="s">
        <v>374</v>
      </c>
    </row>
    <row r="16" spans="1:19" ht="61.5" customHeight="1">
      <c r="A16" s="8"/>
      <c r="B16" s="71"/>
      <c r="C16" s="70">
        <v>4</v>
      </c>
      <c r="D16" s="212" t="s">
        <v>375</v>
      </c>
      <c r="E16" s="213"/>
      <c r="F16" s="213"/>
      <c r="G16" s="213"/>
      <c r="H16" s="213"/>
      <c r="I16" s="213"/>
      <c r="J16" s="213"/>
      <c r="K16" s="213"/>
      <c r="L16" s="213"/>
      <c r="M16" s="213"/>
      <c r="N16" s="200"/>
      <c r="O16" s="200"/>
      <c r="P16" s="200"/>
      <c r="Q16" s="200"/>
      <c r="R16" s="200"/>
    </row>
    <row r="17" spans="1:18">
      <c r="A17" s="8"/>
      <c r="B17" s="71"/>
      <c r="C17" s="70">
        <v>5</v>
      </c>
      <c r="D17" s="214" t="s">
        <v>376</v>
      </c>
      <c r="E17" s="213"/>
      <c r="F17" s="213"/>
      <c r="G17" s="213"/>
      <c r="H17" s="213"/>
      <c r="I17" s="213"/>
      <c r="J17" s="213"/>
      <c r="K17" s="213"/>
      <c r="L17" s="213"/>
      <c r="M17" s="213"/>
    </row>
    <row r="18" spans="1:18" ht="29.55" customHeight="1">
      <c r="A18" s="8"/>
      <c r="B18" s="71"/>
      <c r="C18" s="70">
        <v>6</v>
      </c>
      <c r="D18" s="214" t="s">
        <v>377</v>
      </c>
      <c r="E18" s="213"/>
      <c r="F18" s="213"/>
      <c r="G18" s="213"/>
      <c r="H18" s="213"/>
      <c r="I18" s="213"/>
      <c r="J18" s="213"/>
      <c r="K18" s="213"/>
      <c r="L18" s="213"/>
      <c r="M18" s="213"/>
      <c r="N18" s="200"/>
      <c r="O18" s="200"/>
      <c r="P18" s="200"/>
    </row>
    <row r="19" spans="1:18" ht="29.1" customHeight="1">
      <c r="A19" s="8"/>
      <c r="B19" s="71"/>
      <c r="C19" s="70">
        <v>7</v>
      </c>
      <c r="D19" s="214" t="s">
        <v>378</v>
      </c>
      <c r="E19" s="215"/>
      <c r="F19" s="215"/>
      <c r="G19" s="215"/>
      <c r="H19" s="215"/>
      <c r="I19" s="215"/>
      <c r="J19" s="215"/>
      <c r="K19" s="215"/>
      <c r="L19" s="215"/>
      <c r="M19" s="215"/>
      <c r="N19" s="200"/>
      <c r="O19" s="200"/>
      <c r="P19" s="200"/>
    </row>
    <row r="20" spans="1:18" ht="76.05" customHeight="1">
      <c r="A20" s="8"/>
      <c r="B20" s="71"/>
      <c r="C20" s="70">
        <v>8</v>
      </c>
      <c r="D20" s="214" t="s">
        <v>379</v>
      </c>
      <c r="E20" s="214"/>
      <c r="F20" s="214"/>
      <c r="G20" s="214"/>
      <c r="H20" s="214"/>
      <c r="I20" s="214"/>
      <c r="J20" s="214"/>
      <c r="K20" s="214"/>
      <c r="L20" s="214"/>
      <c r="M20" s="214"/>
      <c r="N20" s="214"/>
      <c r="O20" s="214"/>
      <c r="P20" s="214"/>
      <c r="Q20" s="214"/>
      <c r="R20" s="214"/>
    </row>
    <row r="21" spans="1:18">
      <c r="A21" s="8"/>
      <c r="B21" s="8"/>
    </row>
    <row r="22" spans="1:18" s="74" customFormat="1" ht="23.55" customHeight="1">
      <c r="A22" s="99"/>
      <c r="B22" s="99"/>
      <c r="E22" s="208" t="s">
        <v>380</v>
      </c>
      <c r="F22" s="209"/>
      <c r="G22" s="10" t="s">
        <v>323</v>
      </c>
      <c r="H22" s="10" t="s">
        <v>324</v>
      </c>
      <c r="I22" s="10" t="s">
        <v>325</v>
      </c>
      <c r="J22" s="10" t="s">
        <v>326</v>
      </c>
      <c r="K22" s="10" t="s">
        <v>327</v>
      </c>
      <c r="L22" s="10" t="s">
        <v>328</v>
      </c>
      <c r="M22" s="10" t="s">
        <v>329</v>
      </c>
      <c r="N22" s="10" t="s">
        <v>330</v>
      </c>
      <c r="O22" s="10" t="s">
        <v>331</v>
      </c>
      <c r="P22" s="10" t="s">
        <v>332</v>
      </c>
      <c r="Q22" s="10" t="s">
        <v>333</v>
      </c>
      <c r="R22" s="10" t="s">
        <v>334</v>
      </c>
    </row>
    <row r="23" spans="1:18" s="74" customFormat="1" ht="27" customHeight="1">
      <c r="A23" s="99"/>
      <c r="B23" s="99"/>
      <c r="E23" s="210" t="s">
        <v>33</v>
      </c>
      <c r="F23" s="211"/>
      <c r="G23" s="14">
        <f>VLOOKUP($E$23,IndexLayout!$A$2:$U$8,10,FALSE)</f>
        <v>0</v>
      </c>
      <c r="H23" s="14">
        <f>VLOOKUP($E$23,IndexLayout!$A$2:$U$8,11,FALSE)</f>
        <v>0</v>
      </c>
      <c r="I23" s="14">
        <f>VLOOKUP($E$23,IndexLayout!$A$2:$U$8,12,FALSE)</f>
        <v>0</v>
      </c>
      <c r="J23" s="14">
        <f>VLOOKUP($E$23,IndexLayout!$A$2:$U$8,13,FALSE)</f>
        <v>0</v>
      </c>
      <c r="K23" s="14">
        <f>VLOOKUP($E$23,IndexLayout!$A$2:$U$8,14,FALSE)</f>
        <v>0</v>
      </c>
      <c r="L23" s="14">
        <f>VLOOKUP($E$23,IndexLayout!$A$2:$U$8,15,FALSE)</f>
        <v>0</v>
      </c>
      <c r="M23" s="14">
        <f>VLOOKUP($E$23,IndexLayout!$A$2:$U$8,16,FALSE)</f>
        <v>0</v>
      </c>
      <c r="N23" s="14">
        <f>VLOOKUP($E$23,IndexLayout!$A$2:$U$8,17,FALSE)</f>
        <v>0</v>
      </c>
      <c r="O23" s="14">
        <f>VLOOKUP($E$23,IndexLayout!$A$2:$U$8,18,FALSE)</f>
        <v>0</v>
      </c>
      <c r="P23" s="14">
        <f>VLOOKUP($E$23,IndexLayout!$A$2:$U$8,19,FALSE)</f>
        <v>0</v>
      </c>
      <c r="Q23" s="14">
        <f>VLOOKUP($E$23,IndexLayout!$A$2:$U$8,20,FALSE)</f>
        <v>0</v>
      </c>
      <c r="R23" s="14">
        <f>VLOOKUP($E$23,IndexLayout!$A$2:$U$8,21,FALSE)</f>
        <v>0</v>
      </c>
    </row>
    <row r="24" spans="1:18" s="74" customFormat="1" ht="36.6" customHeight="1">
      <c r="A24" s="99"/>
      <c r="B24" s="99"/>
      <c r="E24" s="97" t="s">
        <v>315</v>
      </c>
      <c r="F24" s="14">
        <f>VLOOKUP($E$23,IndexLayout!$A$2:$U$8,2,FALSE)</f>
        <v>0</v>
      </c>
      <c r="G24" s="126"/>
      <c r="H24" s="126"/>
      <c r="I24" s="126"/>
      <c r="J24" s="126"/>
      <c r="K24" s="126"/>
      <c r="L24" s="126"/>
      <c r="M24" s="98"/>
      <c r="N24" s="98"/>
      <c r="O24" s="98"/>
      <c r="P24" s="98"/>
      <c r="Q24" s="98"/>
      <c r="R24" s="98"/>
    </row>
    <row r="25" spans="1:18" s="74" customFormat="1" ht="36.6" customHeight="1">
      <c r="A25" s="99"/>
      <c r="B25" s="99"/>
      <c r="E25" s="97" t="s">
        <v>316</v>
      </c>
      <c r="F25" s="14">
        <f>VLOOKUP($E$23,IndexLayout!$A$2:$U$8,3,FALSE)</f>
        <v>0</v>
      </c>
      <c r="G25" s="126"/>
      <c r="H25" s="126"/>
      <c r="I25" s="126"/>
      <c r="J25" s="126"/>
      <c r="K25" s="126"/>
      <c r="L25" s="126"/>
      <c r="M25" s="98"/>
      <c r="N25" s="98"/>
      <c r="O25" s="98"/>
      <c r="P25" s="98"/>
      <c r="Q25" s="98"/>
      <c r="R25" s="98"/>
    </row>
    <row r="26" spans="1:18" s="74" customFormat="1" ht="36.6" customHeight="1">
      <c r="A26" s="99"/>
      <c r="B26" s="99"/>
      <c r="E26" s="97" t="s">
        <v>317</v>
      </c>
      <c r="F26" s="14">
        <f>VLOOKUP($E$23,IndexLayout!$A$2:$U$8,4,FALSE)</f>
        <v>0</v>
      </c>
      <c r="G26" s="126"/>
      <c r="H26" s="126"/>
      <c r="I26" s="126"/>
      <c r="J26" s="126"/>
      <c r="K26" s="126"/>
      <c r="L26" s="126"/>
      <c r="M26" s="98"/>
      <c r="N26" s="98"/>
      <c r="O26" s="98"/>
      <c r="P26" s="98"/>
      <c r="Q26" s="98"/>
      <c r="R26" s="98"/>
    </row>
    <row r="27" spans="1:18" s="74" customFormat="1" ht="36.6" customHeight="1">
      <c r="A27" s="99"/>
      <c r="B27" s="99"/>
      <c r="E27" s="97" t="s">
        <v>318</v>
      </c>
      <c r="F27" s="14">
        <f>VLOOKUP($E$23,IndexLayout!$A$2:$U$8,5,FALSE)</f>
        <v>0</v>
      </c>
      <c r="G27" s="126"/>
      <c r="H27" s="126"/>
      <c r="I27" s="126"/>
      <c r="J27" s="126"/>
      <c r="K27" s="126"/>
      <c r="L27" s="126"/>
      <c r="M27" s="98"/>
      <c r="N27" s="98"/>
      <c r="O27" s="98"/>
      <c r="P27" s="98"/>
      <c r="Q27" s="98"/>
      <c r="R27" s="98"/>
    </row>
    <row r="28" spans="1:18" s="74" customFormat="1" ht="36.6" customHeight="1">
      <c r="A28" s="99"/>
      <c r="B28" s="99"/>
      <c r="E28" s="97" t="s">
        <v>319</v>
      </c>
      <c r="F28" s="14">
        <f>VLOOKUP($E$23,IndexLayout!$A$2:$U$8,6,FALSE)</f>
        <v>0</v>
      </c>
      <c r="G28" s="98"/>
      <c r="H28" s="98"/>
      <c r="I28" s="98"/>
      <c r="J28" s="98"/>
      <c r="K28" s="98"/>
      <c r="L28" s="98"/>
      <c r="M28" s="98"/>
      <c r="N28" s="98"/>
      <c r="O28" s="98"/>
      <c r="P28" s="98"/>
      <c r="Q28" s="98"/>
      <c r="R28" s="98"/>
    </row>
    <row r="29" spans="1:18" s="74" customFormat="1" ht="36.6" customHeight="1">
      <c r="A29" s="99"/>
      <c r="B29" s="99"/>
      <c r="E29" s="97" t="s">
        <v>320</v>
      </c>
      <c r="F29" s="14">
        <f>VLOOKUP($E$23,IndexLayout!$A$2:$U$8,7,FALSE)</f>
        <v>0</v>
      </c>
      <c r="G29" s="98"/>
      <c r="H29" s="98"/>
      <c r="I29" s="98"/>
      <c r="J29" s="98"/>
      <c r="K29" s="98"/>
      <c r="L29" s="98"/>
      <c r="M29" s="98"/>
      <c r="N29" s="98"/>
      <c r="O29" s="98"/>
      <c r="P29" s="98"/>
      <c r="Q29" s="98"/>
      <c r="R29" s="98"/>
    </row>
    <row r="30" spans="1:18" s="74" customFormat="1" ht="36.6" customHeight="1">
      <c r="A30" s="99"/>
      <c r="B30" s="99"/>
      <c r="E30" s="97" t="s">
        <v>321</v>
      </c>
      <c r="F30" s="14">
        <f>VLOOKUP($E$23,IndexLayout!$A$2:$U$8,8,FALSE)</f>
        <v>0</v>
      </c>
      <c r="G30" s="98"/>
      <c r="H30" s="98"/>
      <c r="I30" s="98"/>
      <c r="J30" s="98"/>
      <c r="K30" s="98"/>
      <c r="L30" s="98"/>
      <c r="M30" s="98"/>
      <c r="N30" s="98"/>
      <c r="O30" s="98"/>
      <c r="P30" s="98"/>
      <c r="Q30" s="98"/>
      <c r="R30" s="98"/>
    </row>
    <row r="31" spans="1:18" s="74" customFormat="1" ht="36.6" customHeight="1">
      <c r="A31" s="99"/>
      <c r="B31" s="99"/>
      <c r="E31" s="97" t="s">
        <v>322</v>
      </c>
      <c r="F31" s="14">
        <f>VLOOKUP($E$23,IndexLayout!$A$2:$U$8,9,FALSE)</f>
        <v>0</v>
      </c>
      <c r="G31" s="98"/>
      <c r="H31" s="98"/>
      <c r="I31" s="98"/>
      <c r="J31" s="98"/>
      <c r="K31" s="98"/>
      <c r="L31" s="98"/>
      <c r="M31" s="98"/>
      <c r="N31" s="98"/>
      <c r="O31" s="98"/>
      <c r="P31" s="98"/>
      <c r="Q31" s="98"/>
      <c r="R31" s="98"/>
    </row>
    <row r="32" spans="1:18">
      <c r="A32" s="8"/>
      <c r="B32" s="8"/>
    </row>
    <row r="33" spans="1:19" ht="18">
      <c r="A33" s="201" t="s">
        <v>381</v>
      </c>
      <c r="B33" s="202"/>
      <c r="C33" s="202"/>
      <c r="D33" s="202"/>
      <c r="E33" s="202"/>
      <c r="F33" s="202"/>
      <c r="G33" s="202"/>
      <c r="H33" s="202"/>
      <c r="I33" s="202"/>
      <c r="J33" s="202"/>
      <c r="K33" s="202"/>
      <c r="L33" s="202"/>
      <c r="M33" s="202"/>
      <c r="N33" s="200"/>
      <c r="O33" s="200"/>
      <c r="P33" s="200"/>
      <c r="Q33" s="200"/>
      <c r="R33" s="200"/>
      <c r="S33" s="200"/>
    </row>
    <row r="100" spans="5:5" hidden="1">
      <c r="E100" s="4" t="s">
        <v>382</v>
      </c>
    </row>
    <row r="101" spans="5:5" hidden="1">
      <c r="E101" s="4" t="s">
        <v>383</v>
      </c>
    </row>
    <row r="102" spans="5:5" hidden="1">
      <c r="E102" s="4" t="s">
        <v>384</v>
      </c>
    </row>
    <row r="103" spans="5:5" hidden="1">
      <c r="E103" s="4" t="s">
        <v>385</v>
      </c>
    </row>
    <row r="104" spans="5:5" hidden="1">
      <c r="E104" s="4" t="s">
        <v>386</v>
      </c>
    </row>
    <row r="105" spans="5:5" hidden="1">
      <c r="E105" s="4" t="s">
        <v>387</v>
      </c>
    </row>
    <row r="106" spans="5:5" hidden="1">
      <c r="E106" s="4" t="s">
        <v>388</v>
      </c>
    </row>
    <row r="107" spans="5:5" hidden="1">
      <c r="E107" s="4" t="s">
        <v>389</v>
      </c>
    </row>
    <row r="108" spans="5:5" hidden="1">
      <c r="E108" s="4" t="s">
        <v>390</v>
      </c>
    </row>
    <row r="109" spans="5:5" hidden="1">
      <c r="E109" s="4" t="s">
        <v>391</v>
      </c>
    </row>
    <row r="110" spans="5:5" hidden="1">
      <c r="E110" s="4" t="s">
        <v>392</v>
      </c>
    </row>
    <row r="111" spans="5:5" hidden="1">
      <c r="E111" s="4" t="s">
        <v>393</v>
      </c>
    </row>
    <row r="112" spans="5:5" hidden="1">
      <c r="E112" s="4" t="s">
        <v>394</v>
      </c>
    </row>
    <row r="113" spans="5:5" hidden="1">
      <c r="E113" s="4" t="s">
        <v>395</v>
      </c>
    </row>
    <row r="114" spans="5:5" hidden="1">
      <c r="E114" s="4" t="s">
        <v>396</v>
      </c>
    </row>
    <row r="115" spans="5:5" hidden="1">
      <c r="E115" s="4" t="s">
        <v>397</v>
      </c>
    </row>
    <row r="116" spans="5:5" hidden="1">
      <c r="E116" s="4" t="s">
        <v>398</v>
      </c>
    </row>
    <row r="117" spans="5:5" hidden="1">
      <c r="E117" s="4" t="s">
        <v>399</v>
      </c>
    </row>
    <row r="118" spans="5:5" hidden="1">
      <c r="E118" s="4" t="s">
        <v>400</v>
      </c>
    </row>
    <row r="119" spans="5:5" hidden="1">
      <c r="E119" s="4" t="s">
        <v>401</v>
      </c>
    </row>
    <row r="120" spans="5:5" hidden="1">
      <c r="E120" s="4" t="s">
        <v>402</v>
      </c>
    </row>
    <row r="121" spans="5:5" hidden="1">
      <c r="E121" s="4" t="s">
        <v>403</v>
      </c>
    </row>
    <row r="122" spans="5:5" hidden="1">
      <c r="E122" s="4" t="s">
        <v>404</v>
      </c>
    </row>
    <row r="123" spans="5:5" hidden="1">
      <c r="E123" s="4" t="s">
        <v>405</v>
      </c>
    </row>
  </sheetData>
  <sheetProtection algorithmName="SHA-512" hashValue="jGta3KwlH9VLD1HbYkskYTj8ptSE+d5u5uAfU7RFm6Bsd6SFKmDXn32wgWUHPzdp1NXyPC18OkHPda3zlaFjBQ==" saltValue="I3gzTYgZRTVA3GMbAxgzVw==" spinCount="100000" sheet="1" objects="1" scenarios="1"/>
  <mergeCells count="27">
    <mergeCell ref="A1:S1"/>
    <mergeCell ref="A11:S11"/>
    <mergeCell ref="D20:R20"/>
    <mergeCell ref="B3:D3"/>
    <mergeCell ref="E7:F7"/>
    <mergeCell ref="E8:F8"/>
    <mergeCell ref="E9:F9"/>
    <mergeCell ref="I4:M4"/>
    <mergeCell ref="B4:D4"/>
    <mergeCell ref="E4:F4"/>
    <mergeCell ref="E3:F3"/>
    <mergeCell ref="E5:F5"/>
    <mergeCell ref="E6:F6"/>
    <mergeCell ref="I3:M3"/>
    <mergeCell ref="B9:D9"/>
    <mergeCell ref="B5:D5"/>
    <mergeCell ref="A33:S33"/>
    <mergeCell ref="I5:M5"/>
    <mergeCell ref="B8:D8"/>
    <mergeCell ref="B7:D7"/>
    <mergeCell ref="B6:D6"/>
    <mergeCell ref="E22:F22"/>
    <mergeCell ref="E23:F23"/>
    <mergeCell ref="D16:R16"/>
    <mergeCell ref="D17:M17"/>
    <mergeCell ref="D18:P18"/>
    <mergeCell ref="D19:P19"/>
  </mergeCells>
  <conditionalFormatting sqref="G28:R31">
    <cfRule type="duplicateValues" dxfId="20" priority="16"/>
  </conditionalFormatting>
  <conditionalFormatting sqref="G24:R31">
    <cfRule type="duplicateValues" dxfId="19" priority="17"/>
  </conditionalFormatting>
  <conditionalFormatting sqref="M24:R31">
    <cfRule type="duplicateValues" dxfId="18" priority="14"/>
  </conditionalFormatting>
  <conditionalFormatting sqref="M24:R27">
    <cfRule type="duplicateValues" dxfId="17" priority="15"/>
  </conditionalFormatting>
  <conditionalFormatting sqref="G24:L27">
    <cfRule type="cellIs" dxfId="16" priority="11" operator="equal">
      <formula>" "</formula>
    </cfRule>
    <cfRule type="cellIs" dxfId="15" priority="12" operator="equal">
      <formula>0</formula>
    </cfRule>
    <cfRule type="cellIs" dxfId="14" priority="13" operator="equal">
      <formula>0</formula>
    </cfRule>
  </conditionalFormatting>
  <conditionalFormatting sqref="G28:R31">
    <cfRule type="cellIs" dxfId="13" priority="8" operator="equal">
      <formula>" "</formula>
    </cfRule>
    <cfRule type="cellIs" dxfId="12" priority="9" operator="equal">
      <formula>0</formula>
    </cfRule>
    <cfRule type="cellIs" dxfId="11" priority="10" operator="equal">
      <formula>0</formula>
    </cfRule>
  </conditionalFormatting>
  <conditionalFormatting sqref="G28:R31">
    <cfRule type="duplicateValues" dxfId="10" priority="7"/>
  </conditionalFormatting>
  <conditionalFormatting sqref="G28:R31">
    <cfRule type="duplicateValues" dxfId="9" priority="2"/>
  </conditionalFormatting>
  <conditionalFormatting sqref="F24:F31">
    <cfRule type="duplicateValues" dxfId="8" priority="5"/>
  </conditionalFormatting>
  <conditionalFormatting sqref="G23:R23">
    <cfRule type="duplicateValues" dxfId="7" priority="4"/>
  </conditionalFormatting>
  <conditionalFormatting sqref="M23:R23">
    <cfRule type="duplicateValues" dxfId="6" priority="3"/>
  </conditionalFormatting>
  <conditionalFormatting sqref="G31:L31">
    <cfRule type="duplicateValues" dxfId="5" priority="1"/>
  </conditionalFormatting>
  <dataValidations disablePrompts="1" count="1">
    <dataValidation type="custom" allowBlank="1" showInputMessage="1" showErrorMessage="1" sqref="M24:R31 G28:L31" xr:uid="{737B3625-C157-47AE-9A9C-1D04AEF2B1E5}">
      <formula1>ISNUMBER(SUMPRODUCT(SEARCH(MID(G24,ROW(INDIRECT("1:"&amp;LEN(G24))),1),"0123456789abcdefghijklmnopqrstuvwxyzABCDEFGHIJKLMNOPQRSTUVWXYZ-")))</formula1>
    </dataValidation>
  </dataValidations>
  <pageMargins left="0.70866141732283472" right="0.70866141732283472" top="0.74803149606299213" bottom="0.74803149606299213" header="0.31496062992125984" footer="0.31496062992125984"/>
  <pageSetup paperSize="9" scale="53" fitToHeight="0" orientation="landscape" r:id="rId1"/>
  <headerFooter>
    <oddHeader>&amp;R&amp;G</oddHeader>
    <oddFooter>&amp;L&amp;8Version: 1.0&amp;C&amp;8&amp;P of &amp;N&amp;R&amp;8Revidováno: září 2023</oddFooter>
  </headerFooter>
  <ignoredErrors>
    <ignoredError sqref="G22:L22 M22:R22" numberStoredAsText="1"/>
    <ignoredError sqref="F24:F31 G23:R23" unlockedFormula="1"/>
  </ignoredErrors>
  <legacyDrawingHF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68CE95D5-72E6-4D87-B8B1-6546D09AC7E2}">
          <x14:formula1>
            <xm:f>DropDowns!$B$2:$B$5</xm:f>
          </x14:formula1>
          <xm:sqref>E6:F6</xm:sqref>
        </x14:dataValidation>
        <x14:dataValidation type="list" allowBlank="1" showInputMessage="1" showErrorMessage="1" xr:uid="{B4DECEBF-515A-49AB-ABD3-48F01B81F7B1}">
          <x14:formula1>
            <xm:f>DropDowns!$A$2:$A$6</xm:f>
          </x14:formula1>
          <xm:sqref>E5:F5</xm:sqref>
        </x14:dataValidation>
        <x14:dataValidation type="list" allowBlank="1" showInputMessage="1" showErrorMessage="1" xr:uid="{28502076-1761-4101-97B8-ABCD4A589D4E}">
          <x14:formula1>
            <xm:f>DropDowns!$E$2:$E$18</xm:f>
          </x14:formula1>
          <xm:sqref>F24:F31</xm:sqref>
        </x14:dataValidation>
        <x14:dataValidation type="list" allowBlank="1" showInputMessage="1" showErrorMessage="1" xr:uid="{7C757660-6CE6-4C0C-A85F-B0686694C797}">
          <x14:formula1>
            <xm:f>DropDowns!$C$2:$C$26</xm:f>
          </x14:formula1>
          <xm:sqref>G23:R23</xm:sqref>
        </x14:dataValidation>
        <x14:dataValidation type="list" allowBlank="1" showInputMessage="1" showErrorMessage="1" xr:uid="{7ACA48A7-A42B-4321-ADCF-A85EAC536F39}">
          <x14:formula1>
            <xm:f>IndexLayout!$A$2:$A$8</xm:f>
          </x14:formula1>
          <xm:sqref>E23:F23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867C7-751B-4810-B314-C6C557C48B18}">
  <sheetPr codeName="Sheet6"/>
  <dimension ref="A1:M105"/>
  <sheetViews>
    <sheetView zoomScaleNormal="100" zoomScalePageLayoutView="80" workbookViewId="0">
      <selection sqref="A1:M1"/>
    </sheetView>
  </sheetViews>
  <sheetFormatPr defaultColWidth="8.77734375" defaultRowHeight="14.4"/>
  <cols>
    <col min="1" max="1" width="2.77734375" style="4" customWidth="1"/>
    <col min="2" max="3" width="8.77734375" style="4"/>
    <col min="4" max="12" width="14.44140625" style="4" customWidth="1"/>
    <col min="13" max="13" width="2.77734375" style="4" customWidth="1"/>
    <col min="14" max="16384" width="8.77734375" style="4"/>
  </cols>
  <sheetData>
    <row r="1" spans="1:13" ht="18">
      <c r="A1" s="201" t="s">
        <v>406</v>
      </c>
      <c r="B1" s="201"/>
      <c r="C1" s="201"/>
      <c r="D1" s="201"/>
      <c r="E1" s="201"/>
      <c r="F1" s="201"/>
      <c r="G1" s="201"/>
      <c r="H1" s="201"/>
      <c r="I1" s="201"/>
      <c r="J1" s="201"/>
      <c r="K1" s="201"/>
      <c r="L1" s="201"/>
      <c r="M1" s="201"/>
    </row>
    <row r="3" spans="1:13">
      <c r="B3" s="206" t="s">
        <v>360</v>
      </c>
      <c r="C3" s="207"/>
      <c r="D3" s="207"/>
      <c r="E3" s="207"/>
      <c r="F3" s="2" t="str">
        <f>'1.0 Sample_Prep'!E3</f>
        <v>Zadejte</v>
      </c>
    </row>
    <row r="4" spans="1:13">
      <c r="B4" s="228" t="s">
        <v>369</v>
      </c>
      <c r="C4" s="229"/>
      <c r="D4" s="229"/>
      <c r="E4" s="230"/>
      <c r="F4" s="82"/>
    </row>
    <row r="5" spans="1:13">
      <c r="B5" s="231" t="s">
        <v>370</v>
      </c>
      <c r="C5" s="232"/>
      <c r="D5" s="232"/>
      <c r="E5" s="233"/>
      <c r="F5" s="82"/>
    </row>
    <row r="7" spans="1:13">
      <c r="B7" s="38" t="s">
        <v>407</v>
      </c>
      <c r="C7" s="38" t="s">
        <v>408</v>
      </c>
      <c r="D7" s="100" t="s">
        <v>409</v>
      </c>
      <c r="E7" s="100" t="s">
        <v>410</v>
      </c>
      <c r="F7" s="100" t="s">
        <v>411</v>
      </c>
      <c r="G7" s="100" t="s">
        <v>412</v>
      </c>
      <c r="H7" s="100" t="s">
        <v>413</v>
      </c>
      <c r="I7" s="100" t="s">
        <v>414</v>
      </c>
      <c r="J7" s="100" t="s">
        <v>415</v>
      </c>
      <c r="K7" s="100" t="s">
        <v>416</v>
      </c>
      <c r="L7" s="100" t="s">
        <v>417</v>
      </c>
    </row>
    <row r="8" spans="1:13">
      <c r="B8" s="2">
        <v>1</v>
      </c>
      <c r="C8" s="2" t="s">
        <v>418</v>
      </c>
      <c r="D8" s="11" t="str">
        <f>IF('1.0 Sample_Prep'!G24="","",('1.0 Sample_Prep'!G24&amp;"-HLA-"&amp;'1.0 Sample_Prep'!$E$3))</f>
        <v/>
      </c>
      <c r="E8" s="11" t="str">
        <f>IF(D8="","",(D8))</f>
        <v/>
      </c>
      <c r="F8" s="11" t="str">
        <f>IF(D8="","",'1.0 Sample_Prep'!$E$3)</f>
        <v/>
      </c>
      <c r="G8" s="11" t="str">
        <f>IF(D8="","",(C8))</f>
        <v/>
      </c>
      <c r="H8" s="11" t="str">
        <f>IF('1.1 LinearView'!D8="","",('1.0 Sample_Prep'!$G$23))</f>
        <v/>
      </c>
      <c r="I8" s="96" t="str">
        <f>IFERROR(VLOOKUP(H8,DropDowns!$C$2:$D$26,2,FALSE),"")</f>
        <v/>
      </c>
      <c r="J8" s="11" t="str">
        <f>IF(D8="","",('1.0 Sample_Prep'!$F$24))</f>
        <v/>
      </c>
      <c r="K8" s="96" t="str">
        <f>IFERROR(VLOOKUP(J8,DropDowns!$E$2:$F$18,2,FALSE),"")</f>
        <v/>
      </c>
      <c r="L8" s="11" t="str">
        <f>IF(D8="","",('1.0 Sample_Prep'!$E$3))</f>
        <v/>
      </c>
    </row>
    <row r="9" spans="1:13">
      <c r="B9" s="2">
        <v>2</v>
      </c>
      <c r="C9" s="2" t="s">
        <v>419</v>
      </c>
      <c r="D9" s="11" t="str">
        <f>IF('1.0 Sample_Prep'!G25="","",('1.0 Sample_Prep'!G25&amp;"-HLA-"&amp;'1.0 Sample_Prep'!$E$3))</f>
        <v/>
      </c>
      <c r="E9" s="11" t="str">
        <f t="shared" ref="E9:E72" si="0">IF(D9="","",(D9))</f>
        <v/>
      </c>
      <c r="F9" s="11" t="str">
        <f>IF(D9="","",'1.0 Sample_Prep'!$E$3)</f>
        <v/>
      </c>
      <c r="G9" s="11" t="str">
        <f t="shared" ref="G9:G72" si="1">IF(D9="","",(C9))</f>
        <v/>
      </c>
      <c r="H9" s="11" t="str">
        <f>IF('1.1 LinearView'!D9="","",('1.0 Sample_Prep'!$G$23))</f>
        <v/>
      </c>
      <c r="I9" s="96" t="str">
        <f>IFERROR(VLOOKUP(H9,DropDowns!$C$2:$D$26,2,FALSE),"")</f>
        <v/>
      </c>
      <c r="J9" s="11" t="str">
        <f>IF(D9="","",('1.0 Sample_Prep'!$F$25))</f>
        <v/>
      </c>
      <c r="K9" s="96" t="str">
        <f>IFERROR(VLOOKUP(J9,DropDowns!$E$2:$F$18,2,FALSE),"")</f>
        <v/>
      </c>
      <c r="L9" s="11" t="str">
        <f>IF(D9="","",('1.0 Sample_Prep'!$E$3))</f>
        <v/>
      </c>
    </row>
    <row r="10" spans="1:13">
      <c r="B10" s="2">
        <v>3</v>
      </c>
      <c r="C10" s="2" t="s">
        <v>420</v>
      </c>
      <c r="D10" s="11" t="str">
        <f>IF('1.0 Sample_Prep'!G26="","",('1.0 Sample_Prep'!G26&amp;"-HLA-"&amp;'1.0 Sample_Prep'!$E$3))</f>
        <v/>
      </c>
      <c r="E10" s="11" t="str">
        <f t="shared" si="0"/>
        <v/>
      </c>
      <c r="F10" s="11" t="str">
        <f>IF(D10="","",'1.0 Sample_Prep'!$E$3)</f>
        <v/>
      </c>
      <c r="G10" s="11" t="str">
        <f t="shared" si="1"/>
        <v/>
      </c>
      <c r="H10" s="11" t="str">
        <f>IF('1.1 LinearView'!D10="","",('1.0 Sample_Prep'!$G$23))</f>
        <v/>
      </c>
      <c r="I10" s="96" t="str">
        <f>IFERROR(VLOOKUP(H10,DropDowns!$C$2:$D$26,2,FALSE),"")</f>
        <v/>
      </c>
      <c r="J10" s="11" t="str">
        <f>IF(D10="","",('1.0 Sample_Prep'!$F$26))</f>
        <v/>
      </c>
      <c r="K10" s="96" t="str">
        <f>IFERROR(VLOOKUP(J10,DropDowns!$E$2:$F$18,2,FALSE),"")</f>
        <v/>
      </c>
      <c r="L10" s="11" t="str">
        <f>IF(D10="","",('1.0 Sample_Prep'!$E$3))</f>
        <v/>
      </c>
    </row>
    <row r="11" spans="1:13">
      <c r="B11" s="2">
        <v>4</v>
      </c>
      <c r="C11" s="2" t="s">
        <v>421</v>
      </c>
      <c r="D11" s="11" t="str">
        <f>IF('1.0 Sample_Prep'!G27="","",('1.0 Sample_Prep'!G27&amp;"-HLA-"&amp;'1.0 Sample_Prep'!$E$3))</f>
        <v/>
      </c>
      <c r="E11" s="11" t="str">
        <f t="shared" si="0"/>
        <v/>
      </c>
      <c r="F11" s="11" t="str">
        <f>IF(D11="","",'1.0 Sample_Prep'!$E$3)</f>
        <v/>
      </c>
      <c r="G11" s="11" t="str">
        <f t="shared" si="1"/>
        <v/>
      </c>
      <c r="H11" s="11" t="str">
        <f>IF('1.1 LinearView'!D11="","",('1.0 Sample_Prep'!$G$23))</f>
        <v/>
      </c>
      <c r="I11" s="96" t="str">
        <f>IFERROR(VLOOKUP(H11,DropDowns!$C$2:$D$26,2,FALSE),"")</f>
        <v/>
      </c>
      <c r="J11" s="11" t="str">
        <f>IF(D11="","",('1.0 Sample_Prep'!$F$27))</f>
        <v/>
      </c>
      <c r="K11" s="96" t="str">
        <f>IFERROR(VLOOKUP(J11,DropDowns!$E$2:$F$18,2,FALSE),"")</f>
        <v/>
      </c>
      <c r="L11" s="11" t="str">
        <f>IF(D11="","",('1.0 Sample_Prep'!$E$3))</f>
        <v/>
      </c>
    </row>
    <row r="12" spans="1:13">
      <c r="B12" s="2">
        <v>5</v>
      </c>
      <c r="C12" s="2" t="s">
        <v>422</v>
      </c>
      <c r="D12" s="11" t="str">
        <f>IF('1.0 Sample_Prep'!G28="","",('1.0 Sample_Prep'!G28&amp;"-HLA-"&amp;'1.0 Sample_Prep'!$E$3))</f>
        <v/>
      </c>
      <c r="E12" s="11" t="str">
        <f t="shared" si="0"/>
        <v/>
      </c>
      <c r="F12" s="11" t="str">
        <f>IF(D12="","",'1.0 Sample_Prep'!$E$3)</f>
        <v/>
      </c>
      <c r="G12" s="11" t="str">
        <f t="shared" si="1"/>
        <v/>
      </c>
      <c r="H12" s="11" t="str">
        <f>IF('1.1 LinearView'!D12="","",('1.0 Sample_Prep'!$G$23))</f>
        <v/>
      </c>
      <c r="I12" s="96" t="str">
        <f>IFERROR(VLOOKUP(H12,DropDowns!$C$2:$D$26,2,FALSE),"")</f>
        <v/>
      </c>
      <c r="J12" s="11" t="str">
        <f>IF(D12="","",('1.0 Sample_Prep'!$F$28))</f>
        <v/>
      </c>
      <c r="K12" s="96" t="str">
        <f>IFERROR(VLOOKUP(J12,DropDowns!$E$2:$F$18,2,FALSE),"")</f>
        <v/>
      </c>
      <c r="L12" s="11" t="str">
        <f>IF(D12="","",('1.0 Sample_Prep'!$E$3))</f>
        <v/>
      </c>
    </row>
    <row r="13" spans="1:13">
      <c r="B13" s="2">
        <v>6</v>
      </c>
      <c r="C13" s="2" t="s">
        <v>423</v>
      </c>
      <c r="D13" s="11" t="str">
        <f>IF('1.0 Sample_Prep'!G29="","",('1.0 Sample_Prep'!G29&amp;"-HLA-"&amp;'1.0 Sample_Prep'!$E$3))</f>
        <v/>
      </c>
      <c r="E13" s="11" t="str">
        <f t="shared" si="0"/>
        <v/>
      </c>
      <c r="F13" s="11" t="str">
        <f>IF(D13="","",'1.0 Sample_Prep'!$E$3)</f>
        <v/>
      </c>
      <c r="G13" s="11" t="str">
        <f t="shared" si="1"/>
        <v/>
      </c>
      <c r="H13" s="11" t="str">
        <f>IF('1.1 LinearView'!D13="","",('1.0 Sample_Prep'!$G$23))</f>
        <v/>
      </c>
      <c r="I13" s="96" t="str">
        <f>IFERROR(VLOOKUP(H13,DropDowns!$C$2:$D$26,2,FALSE),"")</f>
        <v/>
      </c>
      <c r="J13" s="11" t="str">
        <f>IF(D13="","",('1.0 Sample_Prep'!$F$29))</f>
        <v/>
      </c>
      <c r="K13" s="96" t="str">
        <f>IFERROR(VLOOKUP(J13,DropDowns!$E$2:$F$18,2,FALSE),"")</f>
        <v/>
      </c>
      <c r="L13" s="11" t="str">
        <f>IF(D13="","",('1.0 Sample_Prep'!$E$3))</f>
        <v/>
      </c>
    </row>
    <row r="14" spans="1:13">
      <c r="B14" s="2">
        <v>7</v>
      </c>
      <c r="C14" s="2" t="s">
        <v>424</v>
      </c>
      <c r="D14" s="11" t="str">
        <f>IF('1.0 Sample_Prep'!G30="","",('1.0 Sample_Prep'!G30&amp;"-HLA-"&amp;'1.0 Sample_Prep'!$E$3))</f>
        <v/>
      </c>
      <c r="E14" s="11" t="str">
        <f t="shared" si="0"/>
        <v/>
      </c>
      <c r="F14" s="11" t="str">
        <f>IF(D14="","",'1.0 Sample_Prep'!$E$3)</f>
        <v/>
      </c>
      <c r="G14" s="11" t="str">
        <f t="shared" si="1"/>
        <v/>
      </c>
      <c r="H14" s="11" t="str">
        <f>IF('1.1 LinearView'!D14="","",('1.0 Sample_Prep'!$G$23))</f>
        <v/>
      </c>
      <c r="I14" s="96" t="str">
        <f>IFERROR(VLOOKUP(H14,DropDowns!$C$2:$D$26,2,FALSE),"")</f>
        <v/>
      </c>
      <c r="J14" s="11" t="str">
        <f>IF(D14="","",('1.0 Sample_Prep'!$F$30))</f>
        <v/>
      </c>
      <c r="K14" s="96" t="str">
        <f>IFERROR(VLOOKUP(J14,DropDowns!$E$2:$F$18,2,FALSE),"")</f>
        <v/>
      </c>
      <c r="L14" s="11" t="str">
        <f>IF(D14="","",('1.0 Sample_Prep'!$E$3))</f>
        <v/>
      </c>
    </row>
    <row r="15" spans="1:13">
      <c r="B15" s="2">
        <v>8</v>
      </c>
      <c r="C15" s="2" t="s">
        <v>425</v>
      </c>
      <c r="D15" s="11" t="str">
        <f>IF('1.0 Sample_Prep'!G31="","",('1.0 Sample_Prep'!G31&amp;"-HLA-"&amp;'1.0 Sample_Prep'!$E$3))</f>
        <v/>
      </c>
      <c r="E15" s="11" t="str">
        <f t="shared" si="0"/>
        <v/>
      </c>
      <c r="F15" s="11" t="str">
        <f>IF(D15="","",'1.0 Sample_Prep'!$E$3)</f>
        <v/>
      </c>
      <c r="G15" s="11" t="str">
        <f t="shared" si="1"/>
        <v/>
      </c>
      <c r="H15" s="11" t="str">
        <f>IF('1.1 LinearView'!D15="","",('1.0 Sample_Prep'!$G$23))</f>
        <v/>
      </c>
      <c r="I15" s="96" t="str">
        <f>IFERROR(VLOOKUP(H15,DropDowns!$C$2:$D$26,2,FALSE),"")</f>
        <v/>
      </c>
      <c r="J15" s="11" t="str">
        <f>IF(D15="","",('1.0 Sample_Prep'!$F$31))</f>
        <v/>
      </c>
      <c r="K15" s="96" t="str">
        <f>IFERROR(VLOOKUP(J15,DropDowns!$E$2:$F$18,2,FALSE),"")</f>
        <v/>
      </c>
      <c r="L15" s="11" t="str">
        <f>IF(D15="","",('1.0 Sample_Prep'!$E$3))</f>
        <v/>
      </c>
    </row>
    <row r="16" spans="1:13">
      <c r="B16" s="64">
        <v>9</v>
      </c>
      <c r="C16" s="64" t="s">
        <v>426</v>
      </c>
      <c r="D16" s="12" t="str">
        <f>IF('1.0 Sample_Prep'!H24="","",('1.0 Sample_Prep'!H24&amp;"-HLA-"&amp;'1.0 Sample_Prep'!$E$3))</f>
        <v/>
      </c>
      <c r="E16" s="12" t="str">
        <f t="shared" si="0"/>
        <v/>
      </c>
      <c r="F16" s="12" t="str">
        <f>IF(D16="","",'1.0 Sample_Prep'!$E$3)</f>
        <v/>
      </c>
      <c r="G16" s="12" t="str">
        <f t="shared" si="1"/>
        <v/>
      </c>
      <c r="H16" s="12" t="str">
        <f>IF('1.1 LinearView'!D16="","",('1.0 Sample_Prep'!$H$23))</f>
        <v/>
      </c>
      <c r="I16" s="13" t="str">
        <f>IFERROR(VLOOKUP(H16,DropDowns!$C$2:$D$26,2,FALSE),"")</f>
        <v/>
      </c>
      <c r="J16" s="12" t="str">
        <f>IF(D16="","",('1.0 Sample_Prep'!$F$24))</f>
        <v/>
      </c>
      <c r="K16" s="13" t="str">
        <f>IFERROR(VLOOKUP(J16,DropDowns!$E$2:$F$18,2,FALSE),"")</f>
        <v/>
      </c>
      <c r="L16" s="12" t="str">
        <f>IF(D16="","",('1.0 Sample_Prep'!$E$3))</f>
        <v/>
      </c>
    </row>
    <row r="17" spans="2:12">
      <c r="B17" s="64">
        <v>10</v>
      </c>
      <c r="C17" s="64" t="s">
        <v>427</v>
      </c>
      <c r="D17" s="12" t="str">
        <f>IF('1.0 Sample_Prep'!H25="","",('1.0 Sample_Prep'!H25&amp;"-HLA-"&amp;'1.0 Sample_Prep'!$E$3))</f>
        <v/>
      </c>
      <c r="E17" s="12" t="str">
        <f t="shared" si="0"/>
        <v/>
      </c>
      <c r="F17" s="12" t="str">
        <f>IF(D17="","",'1.0 Sample_Prep'!$E$3)</f>
        <v/>
      </c>
      <c r="G17" s="12" t="str">
        <f t="shared" si="1"/>
        <v/>
      </c>
      <c r="H17" s="12" t="str">
        <f>IF('1.1 LinearView'!D17="","",('1.0 Sample_Prep'!$H$23))</f>
        <v/>
      </c>
      <c r="I17" s="13" t="str">
        <f>IFERROR(VLOOKUP(H17,DropDowns!$C$2:$D$26,2,FALSE),"")</f>
        <v/>
      </c>
      <c r="J17" s="12" t="str">
        <f>IF(D17="","",('1.0 Sample_Prep'!$F$25))</f>
        <v/>
      </c>
      <c r="K17" s="13" t="str">
        <f>IFERROR(VLOOKUP(J17,DropDowns!$E$2:$F$18,2,FALSE),"")</f>
        <v/>
      </c>
      <c r="L17" s="12" t="str">
        <f>IF(D17="","",('1.0 Sample_Prep'!$E$3))</f>
        <v/>
      </c>
    </row>
    <row r="18" spans="2:12">
      <c r="B18" s="64">
        <v>11</v>
      </c>
      <c r="C18" s="64" t="s">
        <v>428</v>
      </c>
      <c r="D18" s="12" t="str">
        <f>IF('1.0 Sample_Prep'!H26="","",('1.0 Sample_Prep'!H26&amp;"-HLA-"&amp;'1.0 Sample_Prep'!$E$3))</f>
        <v/>
      </c>
      <c r="E18" s="12" t="str">
        <f t="shared" si="0"/>
        <v/>
      </c>
      <c r="F18" s="12" t="str">
        <f>IF(D18="","",'1.0 Sample_Prep'!$E$3)</f>
        <v/>
      </c>
      <c r="G18" s="12" t="str">
        <f t="shared" si="1"/>
        <v/>
      </c>
      <c r="H18" s="12" t="str">
        <f>IF('1.1 LinearView'!D18="","",('1.0 Sample_Prep'!$H$23))</f>
        <v/>
      </c>
      <c r="I18" s="13" t="str">
        <f>IFERROR(VLOOKUP(H18,DropDowns!$C$2:$D$26,2,FALSE),"")</f>
        <v/>
      </c>
      <c r="J18" s="12" t="str">
        <f>IF(D18="","",('1.0 Sample_Prep'!$F$26))</f>
        <v/>
      </c>
      <c r="K18" s="13" t="str">
        <f>IFERROR(VLOOKUP(J18,DropDowns!$E$2:$F$18,2,FALSE),"")</f>
        <v/>
      </c>
      <c r="L18" s="12" t="str">
        <f>IF(D18="","",('1.0 Sample_Prep'!$E$3))</f>
        <v/>
      </c>
    </row>
    <row r="19" spans="2:12">
      <c r="B19" s="64">
        <v>12</v>
      </c>
      <c r="C19" s="64" t="s">
        <v>429</v>
      </c>
      <c r="D19" s="12" t="str">
        <f>IF('1.0 Sample_Prep'!H27="","",('1.0 Sample_Prep'!H27&amp;"-HLA-"&amp;'1.0 Sample_Prep'!$E$3))</f>
        <v/>
      </c>
      <c r="E19" s="12" t="str">
        <f t="shared" si="0"/>
        <v/>
      </c>
      <c r="F19" s="12" t="str">
        <f>IF(D19="","",'1.0 Sample_Prep'!$E$3)</f>
        <v/>
      </c>
      <c r="G19" s="12" t="str">
        <f t="shared" si="1"/>
        <v/>
      </c>
      <c r="H19" s="12" t="str">
        <f>IF('1.1 LinearView'!D19="","",('1.0 Sample_Prep'!$H$23))</f>
        <v/>
      </c>
      <c r="I19" s="13" t="str">
        <f>IFERROR(VLOOKUP(H19,DropDowns!$C$2:$D$26,2,FALSE),"")</f>
        <v/>
      </c>
      <c r="J19" s="12" t="str">
        <f>IF(D19="","",('1.0 Sample_Prep'!$F$27))</f>
        <v/>
      </c>
      <c r="K19" s="13" t="str">
        <f>IFERROR(VLOOKUP(J19,DropDowns!$E$2:$F$18,2,FALSE),"")</f>
        <v/>
      </c>
      <c r="L19" s="12" t="str">
        <f>IF(D19="","",('1.0 Sample_Prep'!$E$3))</f>
        <v/>
      </c>
    </row>
    <row r="20" spans="2:12">
      <c r="B20" s="64">
        <v>13</v>
      </c>
      <c r="C20" s="64" t="s">
        <v>430</v>
      </c>
      <c r="D20" s="12" t="str">
        <f>IF('1.0 Sample_Prep'!H28="","",('1.0 Sample_Prep'!H28&amp;"-HLA-"&amp;'1.0 Sample_Prep'!$E$3))</f>
        <v/>
      </c>
      <c r="E20" s="12" t="str">
        <f t="shared" si="0"/>
        <v/>
      </c>
      <c r="F20" s="12" t="str">
        <f>IF(D20="","",'1.0 Sample_Prep'!$E$3)</f>
        <v/>
      </c>
      <c r="G20" s="12" t="str">
        <f t="shared" si="1"/>
        <v/>
      </c>
      <c r="H20" s="12" t="str">
        <f>IF('1.1 LinearView'!D20="","",('1.0 Sample_Prep'!$H$23))</f>
        <v/>
      </c>
      <c r="I20" s="13" t="str">
        <f>IFERROR(VLOOKUP(H20,DropDowns!$C$2:$D$26,2,FALSE),"")</f>
        <v/>
      </c>
      <c r="J20" s="12" t="str">
        <f>IF(D20="","",('1.0 Sample_Prep'!$F$28))</f>
        <v/>
      </c>
      <c r="K20" s="13" t="str">
        <f>IFERROR(VLOOKUP(J20,DropDowns!$E$2:$F$18,2,FALSE),"")</f>
        <v/>
      </c>
      <c r="L20" s="12" t="str">
        <f>IF(D20="","",('1.0 Sample_Prep'!$E$3))</f>
        <v/>
      </c>
    </row>
    <row r="21" spans="2:12">
      <c r="B21" s="64">
        <v>14</v>
      </c>
      <c r="C21" s="64" t="s">
        <v>431</v>
      </c>
      <c r="D21" s="12" t="str">
        <f>IF('1.0 Sample_Prep'!H29="","",('1.0 Sample_Prep'!H29&amp;"-HLA-"&amp;'1.0 Sample_Prep'!$E$3))</f>
        <v/>
      </c>
      <c r="E21" s="12" t="str">
        <f t="shared" si="0"/>
        <v/>
      </c>
      <c r="F21" s="12" t="str">
        <f>IF(D21="","",'1.0 Sample_Prep'!$E$3)</f>
        <v/>
      </c>
      <c r="G21" s="12" t="str">
        <f t="shared" si="1"/>
        <v/>
      </c>
      <c r="H21" s="12" t="str">
        <f>IF('1.1 LinearView'!D21="","",('1.0 Sample_Prep'!$H$23))</f>
        <v/>
      </c>
      <c r="I21" s="13" t="str">
        <f>IFERROR(VLOOKUP(H21,DropDowns!$C$2:$D$26,2,FALSE),"")</f>
        <v/>
      </c>
      <c r="J21" s="12" t="str">
        <f>IF(D21="","",('1.0 Sample_Prep'!$F$29))</f>
        <v/>
      </c>
      <c r="K21" s="13" t="str">
        <f>IFERROR(VLOOKUP(J21,DropDowns!$E$2:$F$18,2,FALSE),"")</f>
        <v/>
      </c>
      <c r="L21" s="12" t="str">
        <f>IF(D21="","",('1.0 Sample_Prep'!$E$3))</f>
        <v/>
      </c>
    </row>
    <row r="22" spans="2:12">
      <c r="B22" s="64">
        <v>15</v>
      </c>
      <c r="C22" s="64" t="s">
        <v>432</v>
      </c>
      <c r="D22" s="12" t="str">
        <f>IF('1.0 Sample_Prep'!H30="","",('1.0 Sample_Prep'!H30&amp;"-HLA-"&amp;'1.0 Sample_Prep'!$E$3))</f>
        <v/>
      </c>
      <c r="E22" s="12" t="str">
        <f t="shared" si="0"/>
        <v/>
      </c>
      <c r="F22" s="12" t="str">
        <f>IF(D22="","",'1.0 Sample_Prep'!$E$3)</f>
        <v/>
      </c>
      <c r="G22" s="12" t="str">
        <f t="shared" si="1"/>
        <v/>
      </c>
      <c r="H22" s="12" t="str">
        <f>IF('1.1 LinearView'!D22="","",('1.0 Sample_Prep'!$H$23))</f>
        <v/>
      </c>
      <c r="I22" s="13" t="str">
        <f>IFERROR(VLOOKUP(H22,DropDowns!$C$2:$D$26,2,FALSE),"")</f>
        <v/>
      </c>
      <c r="J22" s="12" t="str">
        <f>IF(D22="","",('1.0 Sample_Prep'!$F$30))</f>
        <v/>
      </c>
      <c r="K22" s="13" t="str">
        <f>IFERROR(VLOOKUP(J22,DropDowns!$E$2:$F$18,2,FALSE),"")</f>
        <v/>
      </c>
      <c r="L22" s="12" t="str">
        <f>IF(D22="","",('1.0 Sample_Prep'!$E$3))</f>
        <v/>
      </c>
    </row>
    <row r="23" spans="2:12">
      <c r="B23" s="64">
        <v>16</v>
      </c>
      <c r="C23" s="64" t="s">
        <v>433</v>
      </c>
      <c r="D23" s="12" t="str">
        <f>IF('1.0 Sample_Prep'!H31="","",('1.0 Sample_Prep'!H31&amp;"-HLA-"&amp;'1.0 Sample_Prep'!$E$3))</f>
        <v/>
      </c>
      <c r="E23" s="12" t="str">
        <f t="shared" si="0"/>
        <v/>
      </c>
      <c r="F23" s="12" t="str">
        <f>IF(D23="","",'1.0 Sample_Prep'!$E$3)</f>
        <v/>
      </c>
      <c r="G23" s="12" t="str">
        <f t="shared" si="1"/>
        <v/>
      </c>
      <c r="H23" s="12" t="str">
        <f>IF('1.1 LinearView'!D23="","",('1.0 Sample_Prep'!$H$23))</f>
        <v/>
      </c>
      <c r="I23" s="13" t="str">
        <f>IFERROR(VLOOKUP(H23,DropDowns!$C$2:$D$26,2,FALSE),"")</f>
        <v/>
      </c>
      <c r="J23" s="12" t="str">
        <f>IF(D23="","",('1.0 Sample_Prep'!$F$31))</f>
        <v/>
      </c>
      <c r="K23" s="13" t="str">
        <f>IFERROR(VLOOKUP(J23,DropDowns!$E$2:$F$18,2,FALSE),"")</f>
        <v/>
      </c>
      <c r="L23" s="12" t="str">
        <f>IF(D23="","",('1.0 Sample_Prep'!$E$3))</f>
        <v/>
      </c>
    </row>
    <row r="24" spans="2:12">
      <c r="B24" s="2">
        <v>17</v>
      </c>
      <c r="C24" s="2" t="s">
        <v>434</v>
      </c>
      <c r="D24" s="11" t="str">
        <f>IF('1.0 Sample_Prep'!I24="","",('1.0 Sample_Prep'!I24&amp;"-HLA-"&amp;'1.0 Sample_Prep'!$E$3))</f>
        <v/>
      </c>
      <c r="E24" s="11" t="str">
        <f t="shared" si="0"/>
        <v/>
      </c>
      <c r="F24" s="11" t="str">
        <f>IF(D24="","",'1.0 Sample_Prep'!$E$3)</f>
        <v/>
      </c>
      <c r="G24" s="11" t="str">
        <f t="shared" si="1"/>
        <v/>
      </c>
      <c r="H24" s="11" t="str">
        <f>IF('1.1 LinearView'!D24="","",('1.0 Sample_Prep'!$I$23))</f>
        <v/>
      </c>
      <c r="I24" s="96" t="str">
        <f>IFERROR(VLOOKUP(H24,DropDowns!$C$2:$D$26,2,FALSE),"")</f>
        <v/>
      </c>
      <c r="J24" s="11" t="str">
        <f>IF(D24="","",('1.0 Sample_Prep'!$F$24))</f>
        <v/>
      </c>
      <c r="K24" s="96" t="str">
        <f>IFERROR(VLOOKUP(J24,DropDowns!$E$2:$F$18,2,FALSE),"")</f>
        <v/>
      </c>
      <c r="L24" s="11" t="str">
        <f>IF(D24="","",('1.0 Sample_Prep'!$E$3))</f>
        <v/>
      </c>
    </row>
    <row r="25" spans="2:12">
      <c r="B25" s="2">
        <v>18</v>
      </c>
      <c r="C25" s="2" t="s">
        <v>435</v>
      </c>
      <c r="D25" s="11" t="str">
        <f>IF('1.0 Sample_Prep'!I25="","",('1.0 Sample_Prep'!I25&amp;"-HLA-"&amp;'1.0 Sample_Prep'!$E$3))</f>
        <v/>
      </c>
      <c r="E25" s="11" t="str">
        <f t="shared" si="0"/>
        <v/>
      </c>
      <c r="F25" s="11" t="str">
        <f>IF(D25="","",'1.0 Sample_Prep'!$E$3)</f>
        <v/>
      </c>
      <c r="G25" s="11" t="str">
        <f t="shared" si="1"/>
        <v/>
      </c>
      <c r="H25" s="11" t="str">
        <f>IF('1.1 LinearView'!D25="","",('1.0 Sample_Prep'!$I$23))</f>
        <v/>
      </c>
      <c r="I25" s="96" t="str">
        <f>IFERROR(VLOOKUP(H25,DropDowns!$C$2:$D$26,2,FALSE),"")</f>
        <v/>
      </c>
      <c r="J25" s="11" t="str">
        <f>IF(D25="","",('1.0 Sample_Prep'!$F$25))</f>
        <v/>
      </c>
      <c r="K25" s="96" t="str">
        <f>IFERROR(VLOOKUP(J25,DropDowns!$E$2:$F$18,2,FALSE),"")</f>
        <v/>
      </c>
      <c r="L25" s="11" t="str">
        <f>IF(D25="","",('1.0 Sample_Prep'!$E$3))</f>
        <v/>
      </c>
    </row>
    <row r="26" spans="2:12">
      <c r="B26" s="2">
        <v>19</v>
      </c>
      <c r="C26" s="2" t="s">
        <v>436</v>
      </c>
      <c r="D26" s="11" t="str">
        <f>IF('1.0 Sample_Prep'!I26="","",('1.0 Sample_Prep'!I26&amp;"-HLA-"&amp;'1.0 Sample_Prep'!$E$3))</f>
        <v/>
      </c>
      <c r="E26" s="11" t="str">
        <f t="shared" si="0"/>
        <v/>
      </c>
      <c r="F26" s="11" t="str">
        <f>IF(D26="","",'1.0 Sample_Prep'!$E$3)</f>
        <v/>
      </c>
      <c r="G26" s="11" t="str">
        <f t="shared" si="1"/>
        <v/>
      </c>
      <c r="H26" s="11" t="str">
        <f>IF('1.1 LinearView'!D26="","",('1.0 Sample_Prep'!$I$23))</f>
        <v/>
      </c>
      <c r="I26" s="96" t="str">
        <f>IFERROR(VLOOKUP(H26,DropDowns!$C$2:$D$26,2,FALSE),"")</f>
        <v/>
      </c>
      <c r="J26" s="11" t="str">
        <f>IF(D26="","",('1.0 Sample_Prep'!$F$26))</f>
        <v/>
      </c>
      <c r="K26" s="96" t="str">
        <f>IFERROR(VLOOKUP(J26,DropDowns!$E$2:$F$18,2,FALSE),"")</f>
        <v/>
      </c>
      <c r="L26" s="11" t="str">
        <f>IF(D26="","",('1.0 Sample_Prep'!$E$3))</f>
        <v/>
      </c>
    </row>
    <row r="27" spans="2:12">
      <c r="B27" s="2">
        <v>20</v>
      </c>
      <c r="C27" s="2" t="s">
        <v>437</v>
      </c>
      <c r="D27" s="11" t="str">
        <f>IF('1.0 Sample_Prep'!I27="","",('1.0 Sample_Prep'!I27&amp;"-HLA-"&amp;'1.0 Sample_Prep'!$E$3))</f>
        <v/>
      </c>
      <c r="E27" s="11" t="str">
        <f t="shared" si="0"/>
        <v/>
      </c>
      <c r="F27" s="11" t="str">
        <f>IF(D27="","",'1.0 Sample_Prep'!$E$3)</f>
        <v/>
      </c>
      <c r="G27" s="11" t="str">
        <f t="shared" si="1"/>
        <v/>
      </c>
      <c r="H27" s="11" t="str">
        <f>IF('1.1 LinearView'!D27="","",('1.0 Sample_Prep'!$I$23))</f>
        <v/>
      </c>
      <c r="I27" s="96" t="str">
        <f>IFERROR(VLOOKUP(H27,DropDowns!$C$2:$D$26,2,FALSE),"")</f>
        <v/>
      </c>
      <c r="J27" s="11" t="str">
        <f>IF(D27="","",('1.0 Sample_Prep'!$F$27))</f>
        <v/>
      </c>
      <c r="K27" s="96" t="str">
        <f>IFERROR(VLOOKUP(J27,DropDowns!$E$2:$F$18,2,FALSE),"")</f>
        <v/>
      </c>
      <c r="L27" s="11" t="str">
        <f>IF(D27="","",('1.0 Sample_Prep'!$E$3))</f>
        <v/>
      </c>
    </row>
    <row r="28" spans="2:12">
      <c r="B28" s="2">
        <v>21</v>
      </c>
      <c r="C28" s="2" t="s">
        <v>438</v>
      </c>
      <c r="D28" s="11" t="str">
        <f>IF('1.0 Sample_Prep'!I28="","",('1.0 Sample_Prep'!I28&amp;"-HLA-"&amp;'1.0 Sample_Prep'!$E$3))</f>
        <v/>
      </c>
      <c r="E28" s="11" t="str">
        <f t="shared" si="0"/>
        <v/>
      </c>
      <c r="F28" s="11" t="str">
        <f>IF(D28="","",'1.0 Sample_Prep'!$E$3)</f>
        <v/>
      </c>
      <c r="G28" s="11" t="str">
        <f t="shared" si="1"/>
        <v/>
      </c>
      <c r="H28" s="11" t="str">
        <f>IF('1.1 LinearView'!D28="","",('1.0 Sample_Prep'!$I$23))</f>
        <v/>
      </c>
      <c r="I28" s="96" t="str">
        <f>IFERROR(VLOOKUP(H28,DropDowns!$C$2:$D$26,2,FALSE),"")</f>
        <v/>
      </c>
      <c r="J28" s="11" t="str">
        <f>IF(D28="","",('1.0 Sample_Prep'!$F$28))</f>
        <v/>
      </c>
      <c r="K28" s="96" t="str">
        <f>IFERROR(VLOOKUP(J28,DropDowns!$E$2:$F$18,2,FALSE),"")</f>
        <v/>
      </c>
      <c r="L28" s="11" t="str">
        <f>IF(D28="","",('1.0 Sample_Prep'!$E$3))</f>
        <v/>
      </c>
    </row>
    <row r="29" spans="2:12">
      <c r="B29" s="2">
        <v>22</v>
      </c>
      <c r="C29" s="2" t="s">
        <v>439</v>
      </c>
      <c r="D29" s="11" t="str">
        <f>IF('1.0 Sample_Prep'!I29="","",('1.0 Sample_Prep'!I29&amp;"-HLA-"&amp;'1.0 Sample_Prep'!$E$3))</f>
        <v/>
      </c>
      <c r="E29" s="11" t="str">
        <f t="shared" si="0"/>
        <v/>
      </c>
      <c r="F29" s="11" t="str">
        <f>IF(D29="","",'1.0 Sample_Prep'!$E$3)</f>
        <v/>
      </c>
      <c r="G29" s="11" t="str">
        <f t="shared" si="1"/>
        <v/>
      </c>
      <c r="H29" s="11" t="str">
        <f>IF('1.1 LinearView'!D29="","",('1.0 Sample_Prep'!$I$23))</f>
        <v/>
      </c>
      <c r="I29" s="96" t="str">
        <f>IFERROR(VLOOKUP(H29,DropDowns!$C$2:$D$26,2,FALSE),"")</f>
        <v/>
      </c>
      <c r="J29" s="11" t="str">
        <f>IF(D29="","",('1.0 Sample_Prep'!$F$29))</f>
        <v/>
      </c>
      <c r="K29" s="96" t="str">
        <f>IFERROR(VLOOKUP(J29,DropDowns!$E$2:$F$18,2,FALSE),"")</f>
        <v/>
      </c>
      <c r="L29" s="11" t="str">
        <f>IF(D29="","",('1.0 Sample_Prep'!$E$3))</f>
        <v/>
      </c>
    </row>
    <row r="30" spans="2:12">
      <c r="B30" s="2">
        <v>23</v>
      </c>
      <c r="C30" s="2" t="s">
        <v>440</v>
      </c>
      <c r="D30" s="11" t="str">
        <f>IF('1.0 Sample_Prep'!I30="","",('1.0 Sample_Prep'!I30&amp;"-HLA-"&amp;'1.0 Sample_Prep'!$E$3))</f>
        <v/>
      </c>
      <c r="E30" s="11" t="str">
        <f t="shared" si="0"/>
        <v/>
      </c>
      <c r="F30" s="11" t="str">
        <f>IF(D30="","",'1.0 Sample_Prep'!$E$3)</f>
        <v/>
      </c>
      <c r="G30" s="11" t="str">
        <f t="shared" si="1"/>
        <v/>
      </c>
      <c r="H30" s="11" t="str">
        <f>IF('1.1 LinearView'!D30="","",('1.0 Sample_Prep'!$I$23))</f>
        <v/>
      </c>
      <c r="I30" s="96" t="str">
        <f>IFERROR(VLOOKUP(H30,DropDowns!$C$2:$D$26,2,FALSE),"")</f>
        <v/>
      </c>
      <c r="J30" s="11" t="str">
        <f>IF(D30="","",('1.0 Sample_Prep'!$F$30))</f>
        <v/>
      </c>
      <c r="K30" s="96" t="str">
        <f>IFERROR(VLOOKUP(J30,DropDowns!$E$2:$F$18,2,FALSE),"")</f>
        <v/>
      </c>
      <c r="L30" s="11" t="str">
        <f>IF(D30="","",('1.0 Sample_Prep'!$E$3))</f>
        <v/>
      </c>
    </row>
    <row r="31" spans="2:12">
      <c r="B31" s="2">
        <v>24</v>
      </c>
      <c r="C31" s="2" t="s">
        <v>441</v>
      </c>
      <c r="D31" s="11" t="str">
        <f>IF('1.0 Sample_Prep'!I31="","",('1.0 Sample_Prep'!I31&amp;"-HLA-"&amp;'1.0 Sample_Prep'!$E$3))</f>
        <v/>
      </c>
      <c r="E31" s="11" t="str">
        <f t="shared" si="0"/>
        <v/>
      </c>
      <c r="F31" s="11" t="str">
        <f>IF(D31="","",'1.0 Sample_Prep'!$E$3)</f>
        <v/>
      </c>
      <c r="G31" s="11" t="str">
        <f t="shared" si="1"/>
        <v/>
      </c>
      <c r="H31" s="11" t="str">
        <f>IF('1.1 LinearView'!D31="","",('1.0 Sample_Prep'!$I$23))</f>
        <v/>
      </c>
      <c r="I31" s="96" t="str">
        <f>IFERROR(VLOOKUP(H31,DropDowns!$C$2:$D$26,2,FALSE),"")</f>
        <v/>
      </c>
      <c r="J31" s="11" t="str">
        <f>IF(D31="","",('1.0 Sample_Prep'!$F$31))</f>
        <v/>
      </c>
      <c r="K31" s="96" t="str">
        <f>IFERROR(VLOOKUP(J31,DropDowns!$E$2:$F$18,2,FALSE),"")</f>
        <v/>
      </c>
      <c r="L31" s="11" t="str">
        <f>IF(D31="","",('1.0 Sample_Prep'!$E$3))</f>
        <v/>
      </c>
    </row>
    <row r="32" spans="2:12">
      <c r="B32" s="64">
        <v>25</v>
      </c>
      <c r="C32" s="64" t="s">
        <v>442</v>
      </c>
      <c r="D32" s="12" t="str">
        <f>IF('1.0 Sample_Prep'!J24="","",('1.0 Sample_Prep'!J24&amp;"-HLA-"&amp;'1.0 Sample_Prep'!$E$3))</f>
        <v/>
      </c>
      <c r="E32" s="12" t="str">
        <f t="shared" si="0"/>
        <v/>
      </c>
      <c r="F32" s="12" t="str">
        <f>IF(D32="","",'1.0 Sample_Prep'!$E$3)</f>
        <v/>
      </c>
      <c r="G32" s="12" t="str">
        <f t="shared" si="1"/>
        <v/>
      </c>
      <c r="H32" s="12" t="str">
        <f>IF('1.1 LinearView'!D32="","",('1.0 Sample_Prep'!$J$23))</f>
        <v/>
      </c>
      <c r="I32" s="13" t="str">
        <f>IFERROR(VLOOKUP(H32,DropDowns!$C$2:$D$26,2,FALSE),"")</f>
        <v/>
      </c>
      <c r="J32" s="12" t="str">
        <f>IF(D32="","",('1.0 Sample_Prep'!$F$24))</f>
        <v/>
      </c>
      <c r="K32" s="13" t="str">
        <f>IFERROR(VLOOKUP(J32,DropDowns!$E$2:$F$18,2,FALSE),"")</f>
        <v/>
      </c>
      <c r="L32" s="12" t="str">
        <f>IF(D32="","",('1.0 Sample_Prep'!$E$3))</f>
        <v/>
      </c>
    </row>
    <row r="33" spans="2:12">
      <c r="B33" s="64">
        <v>26</v>
      </c>
      <c r="C33" s="64" t="s">
        <v>443</v>
      </c>
      <c r="D33" s="12" t="str">
        <f>IF('1.0 Sample_Prep'!J25="","",('1.0 Sample_Prep'!J25&amp;"-HLA-"&amp;'1.0 Sample_Prep'!$E$3))</f>
        <v/>
      </c>
      <c r="E33" s="12" t="str">
        <f t="shared" si="0"/>
        <v/>
      </c>
      <c r="F33" s="12" t="str">
        <f>IF(D33="","",'1.0 Sample_Prep'!$E$3)</f>
        <v/>
      </c>
      <c r="G33" s="12" t="str">
        <f t="shared" si="1"/>
        <v/>
      </c>
      <c r="H33" s="12" t="str">
        <f>IF('1.1 LinearView'!D33="","",('1.0 Sample_Prep'!$J$23))</f>
        <v/>
      </c>
      <c r="I33" s="13" t="str">
        <f>IFERROR(VLOOKUP(H33,DropDowns!$C$2:$D$26,2,FALSE),"")</f>
        <v/>
      </c>
      <c r="J33" s="12" t="str">
        <f>IF(D33="","",('1.0 Sample_Prep'!$F$25))</f>
        <v/>
      </c>
      <c r="K33" s="13" t="str">
        <f>IFERROR(VLOOKUP(J33,DropDowns!$E$2:$F$18,2,FALSE),"")</f>
        <v/>
      </c>
      <c r="L33" s="12" t="str">
        <f>IF(D33="","",('1.0 Sample_Prep'!$E$3))</f>
        <v/>
      </c>
    </row>
    <row r="34" spans="2:12">
      <c r="B34" s="64">
        <v>27</v>
      </c>
      <c r="C34" s="64" t="s">
        <v>444</v>
      </c>
      <c r="D34" s="12" t="str">
        <f>IF('1.0 Sample_Prep'!J26="","",('1.0 Sample_Prep'!J26&amp;"-HLA-"&amp;'1.0 Sample_Prep'!$E$3))</f>
        <v/>
      </c>
      <c r="E34" s="12" t="str">
        <f t="shared" si="0"/>
        <v/>
      </c>
      <c r="F34" s="12" t="str">
        <f>IF(D34="","",'1.0 Sample_Prep'!$E$3)</f>
        <v/>
      </c>
      <c r="G34" s="12" t="str">
        <f t="shared" si="1"/>
        <v/>
      </c>
      <c r="H34" s="12" t="str">
        <f>IF('1.1 LinearView'!D34="","",('1.0 Sample_Prep'!$J$23))</f>
        <v/>
      </c>
      <c r="I34" s="13" t="str">
        <f>IFERROR(VLOOKUP(H34,DropDowns!$C$2:$D$26,2,FALSE),"")</f>
        <v/>
      </c>
      <c r="J34" s="12" t="str">
        <f>IF(D34="","",('1.0 Sample_Prep'!$F$26))</f>
        <v/>
      </c>
      <c r="K34" s="13" t="str">
        <f>IFERROR(VLOOKUP(J34,DropDowns!$E$2:$F$18,2,FALSE),"")</f>
        <v/>
      </c>
      <c r="L34" s="12" t="str">
        <f>IF(D34="","",('1.0 Sample_Prep'!$E$3))</f>
        <v/>
      </c>
    </row>
    <row r="35" spans="2:12">
      <c r="B35" s="64">
        <v>28</v>
      </c>
      <c r="C35" s="64" t="s">
        <v>445</v>
      </c>
      <c r="D35" s="12" t="str">
        <f>IF('1.0 Sample_Prep'!J27="","",('1.0 Sample_Prep'!J27&amp;"-HLA-"&amp;'1.0 Sample_Prep'!$E$3))</f>
        <v/>
      </c>
      <c r="E35" s="12" t="str">
        <f t="shared" si="0"/>
        <v/>
      </c>
      <c r="F35" s="12" t="str">
        <f>IF(D35="","",'1.0 Sample_Prep'!$E$3)</f>
        <v/>
      </c>
      <c r="G35" s="12" t="str">
        <f t="shared" si="1"/>
        <v/>
      </c>
      <c r="H35" s="12" t="str">
        <f>IF('1.1 LinearView'!D35="","",('1.0 Sample_Prep'!$J$23))</f>
        <v/>
      </c>
      <c r="I35" s="13" t="str">
        <f>IFERROR(VLOOKUP(H35,DropDowns!$C$2:$D$26,2,FALSE),"")</f>
        <v/>
      </c>
      <c r="J35" s="12" t="str">
        <f>IF(D35="","",('1.0 Sample_Prep'!$F$27))</f>
        <v/>
      </c>
      <c r="K35" s="13" t="str">
        <f>IFERROR(VLOOKUP(J35,DropDowns!$E$2:$F$18,2,FALSE),"")</f>
        <v/>
      </c>
      <c r="L35" s="12" t="str">
        <f>IF(D35="","",('1.0 Sample_Prep'!$E$3))</f>
        <v/>
      </c>
    </row>
    <row r="36" spans="2:12">
      <c r="B36" s="64">
        <v>29</v>
      </c>
      <c r="C36" s="64" t="s">
        <v>446</v>
      </c>
      <c r="D36" s="12" t="str">
        <f>IF('1.0 Sample_Prep'!J28="","",('1.0 Sample_Prep'!J28&amp;"-HLA-"&amp;'1.0 Sample_Prep'!$E$3))</f>
        <v/>
      </c>
      <c r="E36" s="12" t="str">
        <f t="shared" si="0"/>
        <v/>
      </c>
      <c r="F36" s="12" t="str">
        <f>IF(D36="","",'1.0 Sample_Prep'!$E$3)</f>
        <v/>
      </c>
      <c r="G36" s="12" t="str">
        <f t="shared" si="1"/>
        <v/>
      </c>
      <c r="H36" s="12" t="str">
        <f>IF('1.1 LinearView'!D36="","",('1.0 Sample_Prep'!$J$23))</f>
        <v/>
      </c>
      <c r="I36" s="13" t="str">
        <f>IFERROR(VLOOKUP(H36,DropDowns!$C$2:$D$26,2,FALSE),"")</f>
        <v/>
      </c>
      <c r="J36" s="12" t="str">
        <f>IF(D36="","",('1.0 Sample_Prep'!$F$28))</f>
        <v/>
      </c>
      <c r="K36" s="13" t="str">
        <f>IFERROR(VLOOKUP(J36,DropDowns!$E$2:$F$18,2,FALSE),"")</f>
        <v/>
      </c>
      <c r="L36" s="12" t="str">
        <f>IF(D36="","",('1.0 Sample_Prep'!$E$3))</f>
        <v/>
      </c>
    </row>
    <row r="37" spans="2:12">
      <c r="B37" s="64">
        <v>30</v>
      </c>
      <c r="C37" s="64" t="s">
        <v>447</v>
      </c>
      <c r="D37" s="12" t="str">
        <f>IF('1.0 Sample_Prep'!J29="","",('1.0 Sample_Prep'!J29&amp;"-HLA-"&amp;'1.0 Sample_Prep'!$E$3))</f>
        <v/>
      </c>
      <c r="E37" s="12" t="str">
        <f t="shared" si="0"/>
        <v/>
      </c>
      <c r="F37" s="12" t="str">
        <f>IF(D37="","",'1.0 Sample_Prep'!$E$3)</f>
        <v/>
      </c>
      <c r="G37" s="12" t="str">
        <f t="shared" si="1"/>
        <v/>
      </c>
      <c r="H37" s="12" t="str">
        <f>IF('1.1 LinearView'!D37="","",('1.0 Sample_Prep'!$J$23))</f>
        <v/>
      </c>
      <c r="I37" s="13" t="str">
        <f>IFERROR(VLOOKUP(H37,DropDowns!$C$2:$D$26,2,FALSE),"")</f>
        <v/>
      </c>
      <c r="J37" s="12" t="str">
        <f>IF(D37="","",('1.0 Sample_Prep'!$F$29))</f>
        <v/>
      </c>
      <c r="K37" s="13" t="str">
        <f>IFERROR(VLOOKUP(J37,DropDowns!$E$2:$F$18,2,FALSE),"")</f>
        <v/>
      </c>
      <c r="L37" s="12" t="str">
        <f>IF(D37="","",('1.0 Sample_Prep'!$E$3))</f>
        <v/>
      </c>
    </row>
    <row r="38" spans="2:12">
      <c r="B38" s="64">
        <v>31</v>
      </c>
      <c r="C38" s="64" t="s">
        <v>448</v>
      </c>
      <c r="D38" s="12" t="str">
        <f>IF('1.0 Sample_Prep'!J30="","",('1.0 Sample_Prep'!J30&amp;"-HLA-"&amp;'1.0 Sample_Prep'!$E$3))</f>
        <v/>
      </c>
      <c r="E38" s="12" t="str">
        <f t="shared" si="0"/>
        <v/>
      </c>
      <c r="F38" s="12" t="str">
        <f>IF(D38="","",'1.0 Sample_Prep'!$E$3)</f>
        <v/>
      </c>
      <c r="G38" s="12" t="str">
        <f t="shared" si="1"/>
        <v/>
      </c>
      <c r="H38" s="12" t="str">
        <f>IF('1.1 LinearView'!D38="","",('1.0 Sample_Prep'!$J$23))</f>
        <v/>
      </c>
      <c r="I38" s="13" t="str">
        <f>IFERROR(VLOOKUP(H38,DropDowns!$C$2:$D$26,2,FALSE),"")</f>
        <v/>
      </c>
      <c r="J38" s="12" t="str">
        <f>IF(D38="","",('1.0 Sample_Prep'!$F$30))</f>
        <v/>
      </c>
      <c r="K38" s="13" t="str">
        <f>IFERROR(VLOOKUP(J38,DropDowns!$E$2:$F$18,2,FALSE),"")</f>
        <v/>
      </c>
      <c r="L38" s="12" t="str">
        <f>IF(D38="","",('1.0 Sample_Prep'!$E$3))</f>
        <v/>
      </c>
    </row>
    <row r="39" spans="2:12">
      <c r="B39" s="64">
        <v>32</v>
      </c>
      <c r="C39" s="64" t="s">
        <v>449</v>
      </c>
      <c r="D39" s="12" t="str">
        <f>IF('1.0 Sample_Prep'!J31="","",('1.0 Sample_Prep'!J31&amp;"-HLA-"&amp;'1.0 Sample_Prep'!$E$3))</f>
        <v/>
      </c>
      <c r="E39" s="12" t="str">
        <f t="shared" si="0"/>
        <v/>
      </c>
      <c r="F39" s="12" t="str">
        <f>IF(D39="","",'1.0 Sample_Prep'!$E$3)</f>
        <v/>
      </c>
      <c r="G39" s="12" t="str">
        <f t="shared" si="1"/>
        <v/>
      </c>
      <c r="H39" s="12" t="str">
        <f>IF('1.1 LinearView'!D39="","",('1.0 Sample_Prep'!$J$23))</f>
        <v/>
      </c>
      <c r="I39" s="13" t="str">
        <f>IFERROR(VLOOKUP(H39,DropDowns!$C$2:$D$26,2,FALSE),"")</f>
        <v/>
      </c>
      <c r="J39" s="12" t="str">
        <f>IF(D39="","",('1.0 Sample_Prep'!$F$31))</f>
        <v/>
      </c>
      <c r="K39" s="13" t="str">
        <f>IFERROR(VLOOKUP(J39,DropDowns!$E$2:$F$18,2,FALSE),"")</f>
        <v/>
      </c>
      <c r="L39" s="12" t="str">
        <f>IF(D39="","",('1.0 Sample_Prep'!$E$3))</f>
        <v/>
      </c>
    </row>
    <row r="40" spans="2:12">
      <c r="B40" s="2">
        <v>33</v>
      </c>
      <c r="C40" s="2" t="s">
        <v>450</v>
      </c>
      <c r="D40" s="11" t="str">
        <f>IF('1.0 Sample_Prep'!K24="","",('1.0 Sample_Prep'!K24&amp;"-HLA-"&amp;'1.0 Sample_Prep'!$E$3))</f>
        <v/>
      </c>
      <c r="E40" s="11" t="str">
        <f t="shared" si="0"/>
        <v/>
      </c>
      <c r="F40" s="11" t="str">
        <f>IF(D40="","",'1.0 Sample_Prep'!$E$3)</f>
        <v/>
      </c>
      <c r="G40" s="11" t="str">
        <f t="shared" si="1"/>
        <v/>
      </c>
      <c r="H40" s="11" t="str">
        <f>IF('1.1 LinearView'!D40="","",('1.0 Sample_Prep'!$K$23))</f>
        <v/>
      </c>
      <c r="I40" s="96" t="str">
        <f>IFERROR(VLOOKUP(H40,DropDowns!$C$2:$D$26,2,FALSE),"")</f>
        <v/>
      </c>
      <c r="J40" s="11" t="str">
        <f>IF(D40="","",('1.0 Sample_Prep'!$F$24))</f>
        <v/>
      </c>
      <c r="K40" s="96" t="str">
        <f>IFERROR(VLOOKUP(J40,DropDowns!$E$2:$F$18,2,FALSE),"")</f>
        <v/>
      </c>
      <c r="L40" s="11" t="str">
        <f>IF(D40="","",('1.0 Sample_Prep'!$E$3))</f>
        <v/>
      </c>
    </row>
    <row r="41" spans="2:12">
      <c r="B41" s="2">
        <v>34</v>
      </c>
      <c r="C41" s="2" t="s">
        <v>451</v>
      </c>
      <c r="D41" s="11" t="str">
        <f>IF('1.0 Sample_Prep'!K25="","",('1.0 Sample_Prep'!K25&amp;"-HLA-"&amp;'1.0 Sample_Prep'!$E$3))</f>
        <v/>
      </c>
      <c r="E41" s="11" t="str">
        <f t="shared" si="0"/>
        <v/>
      </c>
      <c r="F41" s="11" t="str">
        <f>IF(D41="","",'1.0 Sample_Prep'!$E$3)</f>
        <v/>
      </c>
      <c r="G41" s="11" t="str">
        <f t="shared" si="1"/>
        <v/>
      </c>
      <c r="H41" s="11" t="str">
        <f>IF('1.1 LinearView'!D41="","",('1.0 Sample_Prep'!$K$23))</f>
        <v/>
      </c>
      <c r="I41" s="96" t="str">
        <f>IFERROR(VLOOKUP(H41,DropDowns!$C$2:$D$26,2,FALSE),"")</f>
        <v/>
      </c>
      <c r="J41" s="11" t="str">
        <f>IF(D41="","",('1.0 Sample_Prep'!$F$25))</f>
        <v/>
      </c>
      <c r="K41" s="96" t="str">
        <f>IFERROR(VLOOKUP(J41,DropDowns!$E$2:$F$18,2,FALSE),"")</f>
        <v/>
      </c>
      <c r="L41" s="11" t="str">
        <f>IF(D41="","",('1.0 Sample_Prep'!$E$3))</f>
        <v/>
      </c>
    </row>
    <row r="42" spans="2:12">
      <c r="B42" s="2">
        <v>35</v>
      </c>
      <c r="C42" s="2" t="s">
        <v>452</v>
      </c>
      <c r="D42" s="11" t="str">
        <f>IF('1.0 Sample_Prep'!K26="","",('1.0 Sample_Prep'!K26&amp;"-HLA-"&amp;'1.0 Sample_Prep'!$E$3))</f>
        <v/>
      </c>
      <c r="E42" s="11" t="str">
        <f t="shared" si="0"/>
        <v/>
      </c>
      <c r="F42" s="11" t="str">
        <f>IF(D42="","",'1.0 Sample_Prep'!$E$3)</f>
        <v/>
      </c>
      <c r="G42" s="11" t="str">
        <f t="shared" si="1"/>
        <v/>
      </c>
      <c r="H42" s="11" t="str">
        <f>IF('1.1 LinearView'!D42="","",('1.0 Sample_Prep'!$K$23))</f>
        <v/>
      </c>
      <c r="I42" s="96" t="str">
        <f>IFERROR(VLOOKUP(H42,DropDowns!$C$2:$D$26,2,FALSE),"")</f>
        <v/>
      </c>
      <c r="J42" s="11" t="str">
        <f>IF(D42="","",('1.0 Sample_Prep'!$F$26))</f>
        <v/>
      </c>
      <c r="K42" s="96" t="str">
        <f>IFERROR(VLOOKUP(J42,DropDowns!$E$2:$F$18,2,FALSE),"")</f>
        <v/>
      </c>
      <c r="L42" s="11" t="str">
        <f>IF(D42="","",('1.0 Sample_Prep'!$E$3))</f>
        <v/>
      </c>
    </row>
    <row r="43" spans="2:12">
      <c r="B43" s="2">
        <v>36</v>
      </c>
      <c r="C43" s="2" t="s">
        <v>453</v>
      </c>
      <c r="D43" s="11" t="str">
        <f>IF('1.0 Sample_Prep'!K27="","",('1.0 Sample_Prep'!K27&amp;"-HLA-"&amp;'1.0 Sample_Prep'!$E$3))</f>
        <v/>
      </c>
      <c r="E43" s="11" t="str">
        <f t="shared" si="0"/>
        <v/>
      </c>
      <c r="F43" s="11" t="str">
        <f>IF(D43="","",'1.0 Sample_Prep'!$E$3)</f>
        <v/>
      </c>
      <c r="G43" s="11" t="str">
        <f t="shared" si="1"/>
        <v/>
      </c>
      <c r="H43" s="11" t="str">
        <f>IF('1.1 LinearView'!D43="","",('1.0 Sample_Prep'!$K$23))</f>
        <v/>
      </c>
      <c r="I43" s="96" t="str">
        <f>IFERROR(VLOOKUP(H43,DropDowns!$C$2:$D$26,2,FALSE),"")</f>
        <v/>
      </c>
      <c r="J43" s="11" t="str">
        <f>IF(D43="","",('1.0 Sample_Prep'!$F$27))</f>
        <v/>
      </c>
      <c r="K43" s="96" t="str">
        <f>IFERROR(VLOOKUP(J43,DropDowns!$E$2:$F$18,2,FALSE),"")</f>
        <v/>
      </c>
      <c r="L43" s="11" t="str">
        <f>IF(D43="","",('1.0 Sample_Prep'!$E$3))</f>
        <v/>
      </c>
    </row>
    <row r="44" spans="2:12">
      <c r="B44" s="2">
        <v>37</v>
      </c>
      <c r="C44" s="2" t="s">
        <v>454</v>
      </c>
      <c r="D44" s="11" t="str">
        <f>IF('1.0 Sample_Prep'!K28="","",('1.0 Sample_Prep'!K28&amp;"-HLA-"&amp;'1.0 Sample_Prep'!$E$3))</f>
        <v/>
      </c>
      <c r="E44" s="11" t="str">
        <f t="shared" si="0"/>
        <v/>
      </c>
      <c r="F44" s="11" t="str">
        <f>IF(D44="","",'1.0 Sample_Prep'!$E$3)</f>
        <v/>
      </c>
      <c r="G44" s="11" t="str">
        <f t="shared" si="1"/>
        <v/>
      </c>
      <c r="H44" s="11" t="str">
        <f>IF('1.1 LinearView'!D44="","",('1.0 Sample_Prep'!$K$23))</f>
        <v/>
      </c>
      <c r="I44" s="96" t="str">
        <f>IFERROR(VLOOKUP(H44,DropDowns!$C$2:$D$26,2,FALSE),"")</f>
        <v/>
      </c>
      <c r="J44" s="11" t="str">
        <f>IF(D44="","",('1.0 Sample_Prep'!$F$28))</f>
        <v/>
      </c>
      <c r="K44" s="96" t="str">
        <f>IFERROR(VLOOKUP(J44,DropDowns!$E$2:$F$18,2,FALSE),"")</f>
        <v/>
      </c>
      <c r="L44" s="11" t="str">
        <f>IF(D44="","",('1.0 Sample_Prep'!$E$3))</f>
        <v/>
      </c>
    </row>
    <row r="45" spans="2:12">
      <c r="B45" s="2">
        <v>38</v>
      </c>
      <c r="C45" s="2" t="s">
        <v>455</v>
      </c>
      <c r="D45" s="11" t="str">
        <f>IF('1.0 Sample_Prep'!K29="","",('1.0 Sample_Prep'!K29&amp;"-HLA-"&amp;'1.0 Sample_Prep'!$E$3))</f>
        <v/>
      </c>
      <c r="E45" s="11" t="str">
        <f t="shared" si="0"/>
        <v/>
      </c>
      <c r="F45" s="11" t="str">
        <f>IF(D45="","",'1.0 Sample_Prep'!$E$3)</f>
        <v/>
      </c>
      <c r="G45" s="11" t="str">
        <f t="shared" si="1"/>
        <v/>
      </c>
      <c r="H45" s="11" t="str">
        <f>IF('1.1 LinearView'!D45="","",('1.0 Sample_Prep'!$K$23))</f>
        <v/>
      </c>
      <c r="I45" s="96" t="str">
        <f>IFERROR(VLOOKUP(H45,DropDowns!$C$2:$D$26,2,FALSE),"")</f>
        <v/>
      </c>
      <c r="J45" s="11" t="str">
        <f>IF(D45="","",('1.0 Sample_Prep'!$F$29))</f>
        <v/>
      </c>
      <c r="K45" s="96" t="str">
        <f>IFERROR(VLOOKUP(J45,DropDowns!$E$2:$F$18,2,FALSE),"")</f>
        <v/>
      </c>
      <c r="L45" s="11" t="str">
        <f>IF(D45="","",('1.0 Sample_Prep'!$E$3))</f>
        <v/>
      </c>
    </row>
    <row r="46" spans="2:12">
      <c r="B46" s="2">
        <v>39</v>
      </c>
      <c r="C46" s="2" t="s">
        <v>456</v>
      </c>
      <c r="D46" s="11" t="str">
        <f>IF('1.0 Sample_Prep'!K30="","",('1.0 Sample_Prep'!K30&amp;"-HLA-"&amp;'1.0 Sample_Prep'!$E$3))</f>
        <v/>
      </c>
      <c r="E46" s="11" t="str">
        <f t="shared" si="0"/>
        <v/>
      </c>
      <c r="F46" s="11" t="str">
        <f>IF(D46="","",'1.0 Sample_Prep'!$E$3)</f>
        <v/>
      </c>
      <c r="G46" s="11" t="str">
        <f t="shared" si="1"/>
        <v/>
      </c>
      <c r="H46" s="11" t="str">
        <f>IF('1.1 LinearView'!D46="","",('1.0 Sample_Prep'!$K$23))</f>
        <v/>
      </c>
      <c r="I46" s="96" t="str">
        <f>IFERROR(VLOOKUP(H46,DropDowns!$C$2:$D$26,2,FALSE),"")</f>
        <v/>
      </c>
      <c r="J46" s="11" t="str">
        <f>IF(D46="","",('1.0 Sample_Prep'!$F$30))</f>
        <v/>
      </c>
      <c r="K46" s="96" t="str">
        <f>IFERROR(VLOOKUP(J46,DropDowns!$E$2:$F$18,2,FALSE),"")</f>
        <v/>
      </c>
      <c r="L46" s="11" t="str">
        <f>IF(D46="","",('1.0 Sample_Prep'!$E$3))</f>
        <v/>
      </c>
    </row>
    <row r="47" spans="2:12">
      <c r="B47" s="2">
        <v>40</v>
      </c>
      <c r="C47" s="2" t="s">
        <v>457</v>
      </c>
      <c r="D47" s="11" t="str">
        <f>IF('1.0 Sample_Prep'!K31="","",('1.0 Sample_Prep'!K31&amp;"-HLA-"&amp;'1.0 Sample_Prep'!$E$3))</f>
        <v/>
      </c>
      <c r="E47" s="11" t="str">
        <f t="shared" si="0"/>
        <v/>
      </c>
      <c r="F47" s="11" t="str">
        <f>IF(D47="","",'1.0 Sample_Prep'!$E$3)</f>
        <v/>
      </c>
      <c r="G47" s="11" t="str">
        <f t="shared" si="1"/>
        <v/>
      </c>
      <c r="H47" s="11" t="str">
        <f>IF('1.1 LinearView'!D47="","",('1.0 Sample_Prep'!$K$23))</f>
        <v/>
      </c>
      <c r="I47" s="96" t="str">
        <f>IFERROR(VLOOKUP(H47,DropDowns!$C$2:$D$26,2,FALSE),"")</f>
        <v/>
      </c>
      <c r="J47" s="11" t="str">
        <f>IF(D47="","",('1.0 Sample_Prep'!$F$31))</f>
        <v/>
      </c>
      <c r="K47" s="96" t="str">
        <f>IFERROR(VLOOKUP(J47,DropDowns!$E$2:$F$18,2,FALSE),"")</f>
        <v/>
      </c>
      <c r="L47" s="11" t="str">
        <f>IF(D47="","",('1.0 Sample_Prep'!$E$3))</f>
        <v/>
      </c>
    </row>
    <row r="48" spans="2:12">
      <c r="B48" s="64">
        <v>41</v>
      </c>
      <c r="C48" s="64" t="s">
        <v>458</v>
      </c>
      <c r="D48" s="12" t="str">
        <f>IF('1.0 Sample_Prep'!L24="","",('1.0 Sample_Prep'!L24&amp;"-HLA-"&amp;'1.0 Sample_Prep'!$E$3))</f>
        <v/>
      </c>
      <c r="E48" s="12" t="str">
        <f t="shared" si="0"/>
        <v/>
      </c>
      <c r="F48" s="12" t="str">
        <f>IF(D48="","",'1.0 Sample_Prep'!$E$3)</f>
        <v/>
      </c>
      <c r="G48" s="12" t="str">
        <f t="shared" si="1"/>
        <v/>
      </c>
      <c r="H48" s="12" t="str">
        <f>IF('1.1 LinearView'!D48="","",('1.0 Sample_Prep'!$L$23))</f>
        <v/>
      </c>
      <c r="I48" s="13" t="str">
        <f>IFERROR(VLOOKUP(H48,DropDowns!$C$2:$D$26,2,FALSE),"")</f>
        <v/>
      </c>
      <c r="J48" s="12" t="str">
        <f>IF(D48="","",('1.0 Sample_Prep'!$F$24))</f>
        <v/>
      </c>
      <c r="K48" s="13" t="str">
        <f>IFERROR(VLOOKUP(J48,DropDowns!$E$2:$F$18,2,FALSE),"")</f>
        <v/>
      </c>
      <c r="L48" s="12" t="str">
        <f>IF(D48="","",('1.0 Sample_Prep'!$E$3))</f>
        <v/>
      </c>
    </row>
    <row r="49" spans="2:12">
      <c r="B49" s="64">
        <v>42</v>
      </c>
      <c r="C49" s="64" t="s">
        <v>459</v>
      </c>
      <c r="D49" s="12" t="str">
        <f>IF('1.0 Sample_Prep'!L25="","",('1.0 Sample_Prep'!L25&amp;"-HLA-"&amp;'1.0 Sample_Prep'!$E$3))</f>
        <v/>
      </c>
      <c r="E49" s="12" t="str">
        <f t="shared" si="0"/>
        <v/>
      </c>
      <c r="F49" s="12" t="str">
        <f>IF(D49="","",'1.0 Sample_Prep'!$E$3)</f>
        <v/>
      </c>
      <c r="G49" s="12" t="str">
        <f t="shared" si="1"/>
        <v/>
      </c>
      <c r="H49" s="12" t="str">
        <f>IF('1.1 LinearView'!D49="","",('1.0 Sample_Prep'!$L$23))</f>
        <v/>
      </c>
      <c r="I49" s="13" t="str">
        <f>IFERROR(VLOOKUP(H49,DropDowns!$C$2:$D$26,2,FALSE),"")</f>
        <v/>
      </c>
      <c r="J49" s="12" t="str">
        <f>IF(D49="","",('1.0 Sample_Prep'!$F$25))</f>
        <v/>
      </c>
      <c r="K49" s="13" t="str">
        <f>IFERROR(VLOOKUP(J49,DropDowns!$E$2:$F$18,2,FALSE),"")</f>
        <v/>
      </c>
      <c r="L49" s="12" t="str">
        <f>IF(D49="","",('1.0 Sample_Prep'!$E$3))</f>
        <v/>
      </c>
    </row>
    <row r="50" spans="2:12">
      <c r="B50" s="64">
        <v>43</v>
      </c>
      <c r="C50" s="64" t="s">
        <v>460</v>
      </c>
      <c r="D50" s="12" t="str">
        <f>IF('1.0 Sample_Prep'!L26="","",('1.0 Sample_Prep'!L26&amp;"-HLA-"&amp;'1.0 Sample_Prep'!$E$3))</f>
        <v/>
      </c>
      <c r="E50" s="12" t="str">
        <f t="shared" si="0"/>
        <v/>
      </c>
      <c r="F50" s="12" t="str">
        <f>IF(D50="","",'1.0 Sample_Prep'!$E$3)</f>
        <v/>
      </c>
      <c r="G50" s="12" t="str">
        <f t="shared" si="1"/>
        <v/>
      </c>
      <c r="H50" s="12" t="str">
        <f>IF('1.1 LinearView'!D50="","",('1.0 Sample_Prep'!$L$23))</f>
        <v/>
      </c>
      <c r="I50" s="13" t="str">
        <f>IFERROR(VLOOKUP(H50,DropDowns!$C$2:$D$26,2,FALSE),"")</f>
        <v/>
      </c>
      <c r="J50" s="12" t="str">
        <f>IF(D50="","",('1.0 Sample_Prep'!$F$26))</f>
        <v/>
      </c>
      <c r="K50" s="13" t="str">
        <f>IFERROR(VLOOKUP(J50,DropDowns!$E$2:$F$18,2,FALSE),"")</f>
        <v/>
      </c>
      <c r="L50" s="12" t="str">
        <f>IF(D50="","",('1.0 Sample_Prep'!$E$3))</f>
        <v/>
      </c>
    </row>
    <row r="51" spans="2:12">
      <c r="B51" s="64">
        <v>44</v>
      </c>
      <c r="C51" s="64" t="s">
        <v>461</v>
      </c>
      <c r="D51" s="12" t="str">
        <f>IF('1.0 Sample_Prep'!L27="","",('1.0 Sample_Prep'!L27&amp;"-HLA-"&amp;'1.0 Sample_Prep'!$E$3))</f>
        <v/>
      </c>
      <c r="E51" s="12" t="str">
        <f t="shared" si="0"/>
        <v/>
      </c>
      <c r="F51" s="12" t="str">
        <f>IF(D51="","",'1.0 Sample_Prep'!$E$3)</f>
        <v/>
      </c>
      <c r="G51" s="12" t="str">
        <f t="shared" si="1"/>
        <v/>
      </c>
      <c r="H51" s="12" t="str">
        <f>IF('1.1 LinearView'!D51="","",('1.0 Sample_Prep'!$L$23))</f>
        <v/>
      </c>
      <c r="I51" s="13" t="str">
        <f>IFERROR(VLOOKUP(H51,DropDowns!$C$2:$D$26,2,FALSE),"")</f>
        <v/>
      </c>
      <c r="J51" s="12" t="str">
        <f>IF(D51="","",('1.0 Sample_Prep'!$F$27))</f>
        <v/>
      </c>
      <c r="K51" s="13" t="str">
        <f>IFERROR(VLOOKUP(J51,DropDowns!$E$2:$F$18,2,FALSE),"")</f>
        <v/>
      </c>
      <c r="L51" s="12" t="str">
        <f>IF(D51="","",('1.0 Sample_Prep'!$E$3))</f>
        <v/>
      </c>
    </row>
    <row r="52" spans="2:12">
      <c r="B52" s="64">
        <v>45</v>
      </c>
      <c r="C52" s="64" t="s">
        <v>462</v>
      </c>
      <c r="D52" s="12" t="str">
        <f>IF('1.0 Sample_Prep'!L28="","",('1.0 Sample_Prep'!L28&amp;"-HLA-"&amp;'1.0 Sample_Prep'!$E$3))</f>
        <v/>
      </c>
      <c r="E52" s="12" t="str">
        <f t="shared" si="0"/>
        <v/>
      </c>
      <c r="F52" s="12" t="str">
        <f>IF(D52="","",'1.0 Sample_Prep'!$E$3)</f>
        <v/>
      </c>
      <c r="G52" s="12" t="str">
        <f t="shared" si="1"/>
        <v/>
      </c>
      <c r="H52" s="12" t="str">
        <f>IF('1.1 LinearView'!D52="","",('1.0 Sample_Prep'!$L$23))</f>
        <v/>
      </c>
      <c r="I52" s="13" t="str">
        <f>IFERROR(VLOOKUP(H52,DropDowns!$C$2:$D$26,2,FALSE),"")</f>
        <v/>
      </c>
      <c r="J52" s="12" t="str">
        <f>IF(D52="","",('1.0 Sample_Prep'!$F$28))</f>
        <v/>
      </c>
      <c r="K52" s="13" t="str">
        <f>IFERROR(VLOOKUP(J52,DropDowns!$E$2:$F$18,2,FALSE),"")</f>
        <v/>
      </c>
      <c r="L52" s="12" t="str">
        <f>IF(D52="","",('1.0 Sample_Prep'!$E$3))</f>
        <v/>
      </c>
    </row>
    <row r="53" spans="2:12">
      <c r="B53" s="64">
        <v>46</v>
      </c>
      <c r="C53" s="64" t="s">
        <v>463</v>
      </c>
      <c r="D53" s="12" t="str">
        <f>IF('1.0 Sample_Prep'!L29="","",('1.0 Sample_Prep'!L29&amp;"-HLA-"&amp;'1.0 Sample_Prep'!$E$3))</f>
        <v/>
      </c>
      <c r="E53" s="12" t="str">
        <f t="shared" si="0"/>
        <v/>
      </c>
      <c r="F53" s="12" t="str">
        <f>IF(D53="","",'1.0 Sample_Prep'!$E$3)</f>
        <v/>
      </c>
      <c r="G53" s="12" t="str">
        <f t="shared" si="1"/>
        <v/>
      </c>
      <c r="H53" s="12" t="str">
        <f>IF('1.1 LinearView'!D53="","",('1.0 Sample_Prep'!$L$23))</f>
        <v/>
      </c>
      <c r="I53" s="13" t="str">
        <f>IFERROR(VLOOKUP(H53,DropDowns!$C$2:$D$26,2,FALSE),"")</f>
        <v/>
      </c>
      <c r="J53" s="12" t="str">
        <f>IF(D53="","",('1.0 Sample_Prep'!$F$29))</f>
        <v/>
      </c>
      <c r="K53" s="13" t="str">
        <f>IFERROR(VLOOKUP(J53,DropDowns!$E$2:$F$18,2,FALSE),"")</f>
        <v/>
      </c>
      <c r="L53" s="12" t="str">
        <f>IF(D53="","",('1.0 Sample_Prep'!$E$3))</f>
        <v/>
      </c>
    </row>
    <row r="54" spans="2:12">
      <c r="B54" s="64">
        <v>47</v>
      </c>
      <c r="C54" s="64" t="s">
        <v>464</v>
      </c>
      <c r="D54" s="12" t="str">
        <f>IF('1.0 Sample_Prep'!L30="","",('1.0 Sample_Prep'!L30&amp;"-HLA-"&amp;'1.0 Sample_Prep'!$E$3))</f>
        <v/>
      </c>
      <c r="E54" s="12" t="str">
        <f t="shared" si="0"/>
        <v/>
      </c>
      <c r="F54" s="12" t="str">
        <f>IF(D54="","",'1.0 Sample_Prep'!$E$3)</f>
        <v/>
      </c>
      <c r="G54" s="12" t="str">
        <f t="shared" si="1"/>
        <v/>
      </c>
      <c r="H54" s="12" t="str">
        <f>IF('1.1 LinearView'!D54="","",('1.0 Sample_Prep'!$L$23))</f>
        <v/>
      </c>
      <c r="I54" s="13" t="str">
        <f>IFERROR(VLOOKUP(H54,DropDowns!$C$2:$D$26,2,FALSE),"")</f>
        <v/>
      </c>
      <c r="J54" s="12" t="str">
        <f>IF(D54="","",('1.0 Sample_Prep'!$F$30))</f>
        <v/>
      </c>
      <c r="K54" s="13" t="str">
        <f>IFERROR(VLOOKUP(J54,DropDowns!$E$2:$F$18,2,FALSE),"")</f>
        <v/>
      </c>
      <c r="L54" s="12" t="str">
        <f>IF(D54="","",('1.0 Sample_Prep'!$E$3))</f>
        <v/>
      </c>
    </row>
    <row r="55" spans="2:12">
      <c r="B55" s="64">
        <v>48</v>
      </c>
      <c r="C55" s="64" t="s">
        <v>465</v>
      </c>
      <c r="D55" s="12" t="str">
        <f>IF('1.0 Sample_Prep'!L31="","",('1.0 Sample_Prep'!L31&amp;"-HLA-"&amp;'1.0 Sample_Prep'!$E$3))</f>
        <v/>
      </c>
      <c r="E55" s="12" t="str">
        <f t="shared" si="0"/>
        <v/>
      </c>
      <c r="F55" s="12" t="str">
        <f>IF(D55="","",'1.0 Sample_Prep'!$E$3)</f>
        <v/>
      </c>
      <c r="G55" s="12" t="str">
        <f t="shared" si="1"/>
        <v/>
      </c>
      <c r="H55" s="12" t="str">
        <f>IF('1.1 LinearView'!D55="","",('1.0 Sample_Prep'!$L$23))</f>
        <v/>
      </c>
      <c r="I55" s="13" t="str">
        <f>IFERROR(VLOOKUP(H55,DropDowns!$C$2:$D$26,2,FALSE),"")</f>
        <v/>
      </c>
      <c r="J55" s="12" t="str">
        <f>IF(D55="","",('1.0 Sample_Prep'!$F$31))</f>
        <v/>
      </c>
      <c r="K55" s="13" t="str">
        <f>IFERROR(VLOOKUP(J55,DropDowns!$E$2:$F$18,2,FALSE),"")</f>
        <v/>
      </c>
      <c r="L55" s="12" t="str">
        <f>IF(D55="","",('1.0 Sample_Prep'!$E$3))</f>
        <v/>
      </c>
    </row>
    <row r="56" spans="2:12">
      <c r="B56" s="2">
        <v>49</v>
      </c>
      <c r="C56" s="2" t="s">
        <v>466</v>
      </c>
      <c r="D56" s="11" t="str">
        <f>IF('1.0 Sample_Prep'!M24="","",('1.0 Sample_Prep'!M24&amp;"-HLA-"&amp;'1.0 Sample_Prep'!$E$3))</f>
        <v/>
      </c>
      <c r="E56" s="11" t="str">
        <f t="shared" si="0"/>
        <v/>
      </c>
      <c r="F56" s="11" t="str">
        <f>IF(D56="","",'1.0 Sample_Prep'!$E$3)</f>
        <v/>
      </c>
      <c r="G56" s="11" t="str">
        <f t="shared" si="1"/>
        <v/>
      </c>
      <c r="H56" s="11" t="str">
        <f>IF('1.1 LinearView'!D56="","",('1.0 Sample_Prep'!$M$23))</f>
        <v/>
      </c>
      <c r="I56" s="96" t="str">
        <f>IFERROR(VLOOKUP(H56,DropDowns!$C$2:$D$26,2,FALSE),"")</f>
        <v/>
      </c>
      <c r="J56" s="11" t="str">
        <f>IF(D56="","",('1.0 Sample_Prep'!$F$24))</f>
        <v/>
      </c>
      <c r="K56" s="96" t="str">
        <f>IFERROR(VLOOKUP(J56,DropDowns!$E$2:$F$18,2,FALSE),"")</f>
        <v/>
      </c>
      <c r="L56" s="11" t="str">
        <f>IF(D56="","",('1.0 Sample_Prep'!$E$3))</f>
        <v/>
      </c>
    </row>
    <row r="57" spans="2:12">
      <c r="B57" s="2">
        <v>50</v>
      </c>
      <c r="C57" s="2" t="s">
        <v>467</v>
      </c>
      <c r="D57" s="11" t="str">
        <f>IF('1.0 Sample_Prep'!M25="","",('1.0 Sample_Prep'!M25&amp;"-HLA-"&amp;'1.0 Sample_Prep'!$E$3))</f>
        <v/>
      </c>
      <c r="E57" s="11" t="str">
        <f t="shared" si="0"/>
        <v/>
      </c>
      <c r="F57" s="11" t="str">
        <f>IF(D57="","",'1.0 Sample_Prep'!$E$3)</f>
        <v/>
      </c>
      <c r="G57" s="11" t="str">
        <f t="shared" si="1"/>
        <v/>
      </c>
      <c r="H57" s="11" t="str">
        <f>IF('1.1 LinearView'!D57="","",('1.0 Sample_Prep'!$M$23))</f>
        <v/>
      </c>
      <c r="I57" s="96" t="str">
        <f>IFERROR(VLOOKUP(H57,DropDowns!$C$2:$D$26,2,FALSE),"")</f>
        <v/>
      </c>
      <c r="J57" s="11" t="str">
        <f>IF(D57="","",('1.0 Sample_Prep'!$F$25))</f>
        <v/>
      </c>
      <c r="K57" s="96" t="str">
        <f>IFERROR(VLOOKUP(J57,DropDowns!$E$2:$F$18,2,FALSE),"")</f>
        <v/>
      </c>
      <c r="L57" s="11" t="str">
        <f>IF(D57="","",('1.0 Sample_Prep'!$E$3))</f>
        <v/>
      </c>
    </row>
    <row r="58" spans="2:12">
      <c r="B58" s="2">
        <v>51</v>
      </c>
      <c r="C58" s="2" t="s">
        <v>468</v>
      </c>
      <c r="D58" s="11" t="str">
        <f>IF('1.0 Sample_Prep'!M26="","",('1.0 Sample_Prep'!M26&amp;"-HLA-"&amp;'1.0 Sample_Prep'!$E$3))</f>
        <v/>
      </c>
      <c r="E58" s="11" t="str">
        <f t="shared" si="0"/>
        <v/>
      </c>
      <c r="F58" s="11" t="str">
        <f>IF(D58="","",'1.0 Sample_Prep'!$E$3)</f>
        <v/>
      </c>
      <c r="G58" s="11" t="str">
        <f t="shared" si="1"/>
        <v/>
      </c>
      <c r="H58" s="11" t="str">
        <f>IF('1.1 LinearView'!D58="","",('1.0 Sample_Prep'!$M$23))</f>
        <v/>
      </c>
      <c r="I58" s="96" t="str">
        <f>IFERROR(VLOOKUP(H58,DropDowns!$C$2:$D$26,2,FALSE),"")</f>
        <v/>
      </c>
      <c r="J58" s="11" t="str">
        <f>IF(D58="","",('1.0 Sample_Prep'!$F$26))</f>
        <v/>
      </c>
      <c r="K58" s="96" t="str">
        <f>IFERROR(VLOOKUP(J58,DropDowns!$E$2:$F$18,2,FALSE),"")</f>
        <v/>
      </c>
      <c r="L58" s="11" t="str">
        <f>IF(D58="","",('1.0 Sample_Prep'!$E$3))</f>
        <v/>
      </c>
    </row>
    <row r="59" spans="2:12">
      <c r="B59" s="2">
        <v>52</v>
      </c>
      <c r="C59" s="2" t="s">
        <v>469</v>
      </c>
      <c r="D59" s="11" t="str">
        <f>IF('1.0 Sample_Prep'!M27="","",('1.0 Sample_Prep'!M27&amp;"-HLA-"&amp;'1.0 Sample_Prep'!$E$3))</f>
        <v/>
      </c>
      <c r="E59" s="11" t="str">
        <f t="shared" si="0"/>
        <v/>
      </c>
      <c r="F59" s="11" t="str">
        <f>IF(D59="","",'1.0 Sample_Prep'!$E$3)</f>
        <v/>
      </c>
      <c r="G59" s="11" t="str">
        <f t="shared" si="1"/>
        <v/>
      </c>
      <c r="H59" s="11" t="str">
        <f>IF('1.1 LinearView'!D59="","",('1.0 Sample_Prep'!$M$23))</f>
        <v/>
      </c>
      <c r="I59" s="96" t="str">
        <f>IFERROR(VLOOKUP(H59,DropDowns!$C$2:$D$26,2,FALSE),"")</f>
        <v/>
      </c>
      <c r="J59" s="11" t="str">
        <f>IF(D59="","",('1.0 Sample_Prep'!$F$27))</f>
        <v/>
      </c>
      <c r="K59" s="96" t="str">
        <f>IFERROR(VLOOKUP(J59,DropDowns!$E$2:$F$18,2,FALSE),"")</f>
        <v/>
      </c>
      <c r="L59" s="11" t="str">
        <f>IF(D59="","",('1.0 Sample_Prep'!$E$3))</f>
        <v/>
      </c>
    </row>
    <row r="60" spans="2:12">
      <c r="B60" s="2">
        <v>53</v>
      </c>
      <c r="C60" s="2" t="s">
        <v>470</v>
      </c>
      <c r="D60" s="11" t="str">
        <f>IF('1.0 Sample_Prep'!M28="","",('1.0 Sample_Prep'!M28&amp;"-HLA-"&amp;'1.0 Sample_Prep'!$E$3))</f>
        <v/>
      </c>
      <c r="E60" s="11" t="str">
        <f t="shared" si="0"/>
        <v/>
      </c>
      <c r="F60" s="11" t="str">
        <f>IF(D60="","",'1.0 Sample_Prep'!$E$3)</f>
        <v/>
      </c>
      <c r="G60" s="11" t="str">
        <f t="shared" si="1"/>
        <v/>
      </c>
      <c r="H60" s="11" t="str">
        <f>IF('1.1 LinearView'!D60="","",('1.0 Sample_Prep'!$M$23))</f>
        <v/>
      </c>
      <c r="I60" s="96" t="str">
        <f>IFERROR(VLOOKUP(H60,DropDowns!$C$2:$D$26,2,FALSE),"")</f>
        <v/>
      </c>
      <c r="J60" s="11" t="str">
        <f>IF(D60="","",('1.0 Sample_Prep'!$F$28))</f>
        <v/>
      </c>
      <c r="K60" s="96" t="str">
        <f>IFERROR(VLOOKUP(J60,DropDowns!$E$2:$F$18,2,FALSE),"")</f>
        <v/>
      </c>
      <c r="L60" s="11" t="str">
        <f>IF(D60="","",('1.0 Sample_Prep'!$E$3))</f>
        <v/>
      </c>
    </row>
    <row r="61" spans="2:12">
      <c r="B61" s="2">
        <v>54</v>
      </c>
      <c r="C61" s="2" t="s">
        <v>471</v>
      </c>
      <c r="D61" s="11" t="str">
        <f>IF('1.0 Sample_Prep'!M29="","",('1.0 Sample_Prep'!M29&amp;"-HLA-"&amp;'1.0 Sample_Prep'!$E$3))</f>
        <v/>
      </c>
      <c r="E61" s="11" t="str">
        <f t="shared" si="0"/>
        <v/>
      </c>
      <c r="F61" s="11" t="str">
        <f>IF(D61="","",'1.0 Sample_Prep'!$E$3)</f>
        <v/>
      </c>
      <c r="G61" s="11" t="str">
        <f t="shared" si="1"/>
        <v/>
      </c>
      <c r="H61" s="11" t="str">
        <f>IF('1.1 LinearView'!D61="","",('1.0 Sample_Prep'!$M$23))</f>
        <v/>
      </c>
      <c r="I61" s="96" t="str">
        <f>IFERROR(VLOOKUP(H61,DropDowns!$C$2:$D$26,2,FALSE),"")</f>
        <v/>
      </c>
      <c r="J61" s="11" t="str">
        <f>IF(D61="","",('1.0 Sample_Prep'!$F$29))</f>
        <v/>
      </c>
      <c r="K61" s="96" t="str">
        <f>IFERROR(VLOOKUP(J61,DropDowns!$E$2:$F$18,2,FALSE),"")</f>
        <v/>
      </c>
      <c r="L61" s="11" t="str">
        <f>IF(D61="","",('1.0 Sample_Prep'!$E$3))</f>
        <v/>
      </c>
    </row>
    <row r="62" spans="2:12">
      <c r="B62" s="2">
        <v>55</v>
      </c>
      <c r="C62" s="2" t="s">
        <v>472</v>
      </c>
      <c r="D62" s="11" t="str">
        <f>IF('1.0 Sample_Prep'!M30="","",('1.0 Sample_Prep'!M30&amp;"-HLA-"&amp;'1.0 Sample_Prep'!$E$3))</f>
        <v/>
      </c>
      <c r="E62" s="11" t="str">
        <f t="shared" si="0"/>
        <v/>
      </c>
      <c r="F62" s="11" t="str">
        <f>IF(D62="","",'1.0 Sample_Prep'!$E$3)</f>
        <v/>
      </c>
      <c r="G62" s="11" t="str">
        <f t="shared" si="1"/>
        <v/>
      </c>
      <c r="H62" s="11" t="str">
        <f>IF('1.1 LinearView'!D62="","",('1.0 Sample_Prep'!$M$23))</f>
        <v/>
      </c>
      <c r="I62" s="96" t="str">
        <f>IFERROR(VLOOKUP(H62,DropDowns!$C$2:$D$26,2,FALSE),"")</f>
        <v/>
      </c>
      <c r="J62" s="11" t="str">
        <f>IF(D62="","",('1.0 Sample_Prep'!$F$30))</f>
        <v/>
      </c>
      <c r="K62" s="96" t="str">
        <f>IFERROR(VLOOKUP(J62,DropDowns!$E$2:$F$18,2,FALSE),"")</f>
        <v/>
      </c>
      <c r="L62" s="11" t="str">
        <f>IF(D62="","",('1.0 Sample_Prep'!$E$3))</f>
        <v/>
      </c>
    </row>
    <row r="63" spans="2:12">
      <c r="B63" s="2">
        <v>56</v>
      </c>
      <c r="C63" s="2" t="s">
        <v>473</v>
      </c>
      <c r="D63" s="11" t="str">
        <f>IF('1.0 Sample_Prep'!M31="","",('1.0 Sample_Prep'!M31&amp;"-HLA-"&amp;'1.0 Sample_Prep'!$E$3))</f>
        <v/>
      </c>
      <c r="E63" s="11" t="str">
        <f t="shared" si="0"/>
        <v/>
      </c>
      <c r="F63" s="11" t="str">
        <f>IF(D63="","",'1.0 Sample_Prep'!$E$3)</f>
        <v/>
      </c>
      <c r="G63" s="11" t="str">
        <f t="shared" si="1"/>
        <v/>
      </c>
      <c r="H63" s="11" t="str">
        <f>IF('1.1 LinearView'!D63="","",('1.0 Sample_Prep'!$M$23))</f>
        <v/>
      </c>
      <c r="I63" s="96" t="str">
        <f>IFERROR(VLOOKUP(H63,DropDowns!$C$2:$D$26,2,FALSE),"")</f>
        <v/>
      </c>
      <c r="J63" s="11" t="str">
        <f>IF(D63="","",('1.0 Sample_Prep'!$F$31))</f>
        <v/>
      </c>
      <c r="K63" s="96" t="str">
        <f>IFERROR(VLOOKUP(J63,DropDowns!$E$2:$F$18,2,FALSE),"")</f>
        <v/>
      </c>
      <c r="L63" s="11" t="str">
        <f>IF(D63="","",('1.0 Sample_Prep'!$E$3))</f>
        <v/>
      </c>
    </row>
    <row r="64" spans="2:12">
      <c r="B64" s="64">
        <v>57</v>
      </c>
      <c r="C64" s="64" t="s">
        <v>474</v>
      </c>
      <c r="D64" s="12" t="str">
        <f>IF('1.0 Sample_Prep'!N24="","",('1.0 Sample_Prep'!N24&amp;"-HLA-"&amp;'1.0 Sample_Prep'!$E$3))</f>
        <v/>
      </c>
      <c r="E64" s="12" t="str">
        <f t="shared" si="0"/>
        <v/>
      </c>
      <c r="F64" s="12" t="str">
        <f>IF(D64="","",'1.0 Sample_Prep'!$E$3)</f>
        <v/>
      </c>
      <c r="G64" s="12" t="str">
        <f t="shared" si="1"/>
        <v/>
      </c>
      <c r="H64" s="12" t="str">
        <f>IF('1.1 LinearView'!D64="","",('1.0 Sample_Prep'!$N$23))</f>
        <v/>
      </c>
      <c r="I64" s="13" t="str">
        <f>IFERROR(VLOOKUP(H64,DropDowns!$C$2:$D$26,2,FALSE),"")</f>
        <v/>
      </c>
      <c r="J64" s="12" t="str">
        <f>IF(D64="","",('1.0 Sample_Prep'!$F$24))</f>
        <v/>
      </c>
      <c r="K64" s="13" t="str">
        <f>IFERROR(VLOOKUP(J64,DropDowns!$E$2:$F$18,2,FALSE),"")</f>
        <v/>
      </c>
      <c r="L64" s="12" t="str">
        <f>IF(D64="","",('1.0 Sample_Prep'!$E$3))</f>
        <v/>
      </c>
    </row>
    <row r="65" spans="2:12">
      <c r="B65" s="64">
        <v>58</v>
      </c>
      <c r="C65" s="64" t="s">
        <v>475</v>
      </c>
      <c r="D65" s="12" t="str">
        <f>IF('1.0 Sample_Prep'!N25="","",('1.0 Sample_Prep'!N25&amp;"-HLA-"&amp;'1.0 Sample_Prep'!$E$3))</f>
        <v/>
      </c>
      <c r="E65" s="12" t="str">
        <f t="shared" si="0"/>
        <v/>
      </c>
      <c r="F65" s="12" t="str">
        <f>IF(D65="","",'1.0 Sample_Prep'!$E$3)</f>
        <v/>
      </c>
      <c r="G65" s="12" t="str">
        <f t="shared" si="1"/>
        <v/>
      </c>
      <c r="H65" s="12" t="str">
        <f>IF('1.1 LinearView'!D65="","",('1.0 Sample_Prep'!$N$23))</f>
        <v/>
      </c>
      <c r="I65" s="13" t="str">
        <f>IFERROR(VLOOKUP(H65,DropDowns!$C$2:$D$26,2,FALSE),"")</f>
        <v/>
      </c>
      <c r="J65" s="12" t="str">
        <f>IF(D65="","",('1.0 Sample_Prep'!$F$25))</f>
        <v/>
      </c>
      <c r="K65" s="13" t="str">
        <f>IFERROR(VLOOKUP(J65,DropDowns!$E$2:$F$18,2,FALSE),"")</f>
        <v/>
      </c>
      <c r="L65" s="12" t="str">
        <f>IF(D65="","",('1.0 Sample_Prep'!$E$3))</f>
        <v/>
      </c>
    </row>
    <row r="66" spans="2:12">
      <c r="B66" s="64">
        <v>59</v>
      </c>
      <c r="C66" s="64" t="s">
        <v>476</v>
      </c>
      <c r="D66" s="12" t="str">
        <f>IF('1.0 Sample_Prep'!N26="","",('1.0 Sample_Prep'!N26&amp;"-HLA-"&amp;'1.0 Sample_Prep'!$E$3))</f>
        <v/>
      </c>
      <c r="E66" s="12" t="str">
        <f t="shared" si="0"/>
        <v/>
      </c>
      <c r="F66" s="12" t="str">
        <f>IF(D66="","",'1.0 Sample_Prep'!$E$3)</f>
        <v/>
      </c>
      <c r="G66" s="12" t="str">
        <f t="shared" si="1"/>
        <v/>
      </c>
      <c r="H66" s="12" t="str">
        <f>IF('1.1 LinearView'!D66="","",('1.0 Sample_Prep'!$N$23))</f>
        <v/>
      </c>
      <c r="I66" s="13" t="str">
        <f>IFERROR(VLOOKUP(H66,DropDowns!$C$2:$D$26,2,FALSE),"")</f>
        <v/>
      </c>
      <c r="J66" s="12" t="str">
        <f>IF(D66="","",('1.0 Sample_Prep'!$F$26))</f>
        <v/>
      </c>
      <c r="K66" s="13" t="str">
        <f>IFERROR(VLOOKUP(J66,DropDowns!$E$2:$F$18,2,FALSE),"")</f>
        <v/>
      </c>
      <c r="L66" s="12" t="str">
        <f>IF(D66="","",('1.0 Sample_Prep'!$E$3))</f>
        <v/>
      </c>
    </row>
    <row r="67" spans="2:12">
      <c r="B67" s="64">
        <v>60</v>
      </c>
      <c r="C67" s="64" t="s">
        <v>477</v>
      </c>
      <c r="D67" s="12" t="str">
        <f>IF('1.0 Sample_Prep'!N27="","",('1.0 Sample_Prep'!N27&amp;"-HLA-"&amp;'1.0 Sample_Prep'!$E$3))</f>
        <v/>
      </c>
      <c r="E67" s="12" t="str">
        <f t="shared" si="0"/>
        <v/>
      </c>
      <c r="F67" s="12" t="str">
        <f>IF(D67="","",'1.0 Sample_Prep'!$E$3)</f>
        <v/>
      </c>
      <c r="G67" s="12" t="str">
        <f t="shared" si="1"/>
        <v/>
      </c>
      <c r="H67" s="12" t="str">
        <f>IF('1.1 LinearView'!D67="","",('1.0 Sample_Prep'!$N$23))</f>
        <v/>
      </c>
      <c r="I67" s="13" t="str">
        <f>IFERROR(VLOOKUP(H67,DropDowns!$C$2:$D$26,2,FALSE),"")</f>
        <v/>
      </c>
      <c r="J67" s="12" t="str">
        <f>IF(D67="","",('1.0 Sample_Prep'!$F$27))</f>
        <v/>
      </c>
      <c r="K67" s="13" t="str">
        <f>IFERROR(VLOOKUP(J67,DropDowns!$E$2:$F$18,2,FALSE),"")</f>
        <v/>
      </c>
      <c r="L67" s="12" t="str">
        <f>IF(D67="","",('1.0 Sample_Prep'!$E$3))</f>
        <v/>
      </c>
    </row>
    <row r="68" spans="2:12">
      <c r="B68" s="64">
        <v>61</v>
      </c>
      <c r="C68" s="64" t="s">
        <v>478</v>
      </c>
      <c r="D68" s="12" t="str">
        <f>IF('1.0 Sample_Prep'!N28="","",('1.0 Sample_Prep'!N28&amp;"-HLA-"&amp;'1.0 Sample_Prep'!$E$3))</f>
        <v/>
      </c>
      <c r="E68" s="12" t="str">
        <f t="shared" si="0"/>
        <v/>
      </c>
      <c r="F68" s="12" t="str">
        <f>IF(D68="","",'1.0 Sample_Prep'!$E$3)</f>
        <v/>
      </c>
      <c r="G68" s="12" t="str">
        <f t="shared" si="1"/>
        <v/>
      </c>
      <c r="H68" s="12" t="str">
        <f>IF('1.1 LinearView'!D68="","",('1.0 Sample_Prep'!$N$23))</f>
        <v/>
      </c>
      <c r="I68" s="13" t="str">
        <f>IFERROR(VLOOKUP(H68,DropDowns!$C$2:$D$26,2,FALSE),"")</f>
        <v/>
      </c>
      <c r="J68" s="12" t="str">
        <f>IF(D68="","",('1.0 Sample_Prep'!$F$28))</f>
        <v/>
      </c>
      <c r="K68" s="13" t="str">
        <f>IFERROR(VLOOKUP(J68,DropDowns!$E$2:$F$18,2,FALSE),"")</f>
        <v/>
      </c>
      <c r="L68" s="12" t="str">
        <f>IF(D68="","",('1.0 Sample_Prep'!$E$3))</f>
        <v/>
      </c>
    </row>
    <row r="69" spans="2:12">
      <c r="B69" s="64">
        <v>62</v>
      </c>
      <c r="C69" s="64" t="s">
        <v>479</v>
      </c>
      <c r="D69" s="12" t="str">
        <f>IF('1.0 Sample_Prep'!N29="","",('1.0 Sample_Prep'!N29&amp;"-HLA-"&amp;'1.0 Sample_Prep'!$E$3))</f>
        <v/>
      </c>
      <c r="E69" s="12" t="str">
        <f t="shared" si="0"/>
        <v/>
      </c>
      <c r="F69" s="12" t="str">
        <f>IF(D69="","",'1.0 Sample_Prep'!$E$3)</f>
        <v/>
      </c>
      <c r="G69" s="12" t="str">
        <f t="shared" si="1"/>
        <v/>
      </c>
      <c r="H69" s="12" t="str">
        <f>IF('1.1 LinearView'!D69="","",('1.0 Sample_Prep'!$N$23))</f>
        <v/>
      </c>
      <c r="I69" s="13" t="str">
        <f>IFERROR(VLOOKUP(H69,DropDowns!$C$2:$D$26,2,FALSE),"")</f>
        <v/>
      </c>
      <c r="J69" s="12" t="str">
        <f>IF(D69="","",('1.0 Sample_Prep'!$F$29))</f>
        <v/>
      </c>
      <c r="K69" s="13" t="str">
        <f>IFERROR(VLOOKUP(J69,DropDowns!$E$2:$F$18,2,FALSE),"")</f>
        <v/>
      </c>
      <c r="L69" s="12" t="str">
        <f>IF(D69="","",('1.0 Sample_Prep'!$E$3))</f>
        <v/>
      </c>
    </row>
    <row r="70" spans="2:12">
      <c r="B70" s="64">
        <v>63</v>
      </c>
      <c r="C70" s="64" t="s">
        <v>480</v>
      </c>
      <c r="D70" s="12" t="str">
        <f>IF('1.0 Sample_Prep'!N30="","",('1.0 Sample_Prep'!N30&amp;"-HLA-"&amp;'1.0 Sample_Prep'!$E$3))</f>
        <v/>
      </c>
      <c r="E70" s="12" t="str">
        <f t="shared" si="0"/>
        <v/>
      </c>
      <c r="F70" s="12" t="str">
        <f>IF(D70="","",'1.0 Sample_Prep'!$E$3)</f>
        <v/>
      </c>
      <c r="G70" s="12" t="str">
        <f t="shared" si="1"/>
        <v/>
      </c>
      <c r="H70" s="12" t="str">
        <f>IF('1.1 LinearView'!D70="","",('1.0 Sample_Prep'!$N$23))</f>
        <v/>
      </c>
      <c r="I70" s="13" t="str">
        <f>IFERROR(VLOOKUP(H70,DropDowns!$C$2:$D$26,2,FALSE),"")</f>
        <v/>
      </c>
      <c r="J70" s="12" t="str">
        <f>IF(D70="","",('1.0 Sample_Prep'!$F$30))</f>
        <v/>
      </c>
      <c r="K70" s="13" t="str">
        <f>IFERROR(VLOOKUP(J70,DropDowns!$E$2:$F$18,2,FALSE),"")</f>
        <v/>
      </c>
      <c r="L70" s="12" t="str">
        <f>IF(D70="","",('1.0 Sample_Prep'!$E$3))</f>
        <v/>
      </c>
    </row>
    <row r="71" spans="2:12">
      <c r="B71" s="64">
        <v>64</v>
      </c>
      <c r="C71" s="64" t="s">
        <v>481</v>
      </c>
      <c r="D71" s="12" t="str">
        <f>IF('1.0 Sample_Prep'!N31="","",('1.0 Sample_Prep'!N31&amp;"-HLA-"&amp;'1.0 Sample_Prep'!$E$3))</f>
        <v/>
      </c>
      <c r="E71" s="12" t="str">
        <f t="shared" si="0"/>
        <v/>
      </c>
      <c r="F71" s="12" t="str">
        <f>IF(D71="","",'1.0 Sample_Prep'!$E$3)</f>
        <v/>
      </c>
      <c r="G71" s="12" t="str">
        <f t="shared" si="1"/>
        <v/>
      </c>
      <c r="H71" s="12" t="str">
        <f>IF('1.1 LinearView'!D71="","",('1.0 Sample_Prep'!$N$23))</f>
        <v/>
      </c>
      <c r="I71" s="13" t="str">
        <f>IFERROR(VLOOKUP(H71,DropDowns!$C$2:$D$26,2,FALSE),"")</f>
        <v/>
      </c>
      <c r="J71" s="12" t="str">
        <f>IF(D71="","",('1.0 Sample_Prep'!$F$31))</f>
        <v/>
      </c>
      <c r="K71" s="13" t="str">
        <f>IFERROR(VLOOKUP(J71,DropDowns!$E$2:$F$18,2,FALSE),"")</f>
        <v/>
      </c>
      <c r="L71" s="12" t="str">
        <f>IF(D71="","",('1.0 Sample_Prep'!$E$3))</f>
        <v/>
      </c>
    </row>
    <row r="72" spans="2:12">
      <c r="B72" s="2">
        <v>65</v>
      </c>
      <c r="C72" s="2" t="s">
        <v>482</v>
      </c>
      <c r="D72" s="11" t="str">
        <f>IF('1.0 Sample_Prep'!O24="","",('1.0 Sample_Prep'!O24&amp;"-HLA-"&amp;'1.0 Sample_Prep'!$E$3))</f>
        <v/>
      </c>
      <c r="E72" s="11" t="str">
        <f t="shared" si="0"/>
        <v/>
      </c>
      <c r="F72" s="11" t="str">
        <f>IF(D72="","",'1.0 Sample_Prep'!$E$3)</f>
        <v/>
      </c>
      <c r="G72" s="11" t="str">
        <f t="shared" si="1"/>
        <v/>
      </c>
      <c r="H72" s="11" t="str">
        <f>IF('1.1 LinearView'!D72="","",('1.0 Sample_Prep'!$O$23))</f>
        <v/>
      </c>
      <c r="I72" s="96" t="str">
        <f>IFERROR(VLOOKUP(H72,DropDowns!$C$2:$D$26,2,FALSE),"")</f>
        <v/>
      </c>
      <c r="J72" s="11" t="str">
        <f>IF(D72="","",('1.0 Sample_Prep'!$F$24))</f>
        <v/>
      </c>
      <c r="K72" s="96" t="str">
        <f>IFERROR(VLOOKUP(J72,DropDowns!$E$2:$F$18,2,FALSE),"")</f>
        <v/>
      </c>
      <c r="L72" s="11" t="str">
        <f>IF(D72="","",('1.0 Sample_Prep'!$E$3))</f>
        <v/>
      </c>
    </row>
    <row r="73" spans="2:12">
      <c r="B73" s="2">
        <v>66</v>
      </c>
      <c r="C73" s="2" t="s">
        <v>483</v>
      </c>
      <c r="D73" s="11" t="str">
        <f>IF('1.0 Sample_Prep'!O25="","",('1.0 Sample_Prep'!O25&amp;"-HLA-"&amp;'1.0 Sample_Prep'!$E$3))</f>
        <v/>
      </c>
      <c r="E73" s="11" t="str">
        <f t="shared" ref="E73:E103" si="2">IF(D73="","",(D73))</f>
        <v/>
      </c>
      <c r="F73" s="11" t="str">
        <f>IF(D73="","",'1.0 Sample_Prep'!$E$3)</f>
        <v/>
      </c>
      <c r="G73" s="11" t="str">
        <f t="shared" ref="G73:G103" si="3">IF(D73="","",(C73))</f>
        <v/>
      </c>
      <c r="H73" s="11" t="str">
        <f>IF('1.1 LinearView'!D73="","",('1.0 Sample_Prep'!$O$23))</f>
        <v/>
      </c>
      <c r="I73" s="96" t="str">
        <f>IFERROR(VLOOKUP(H73,DropDowns!$C$2:$D$26,2,FALSE),"")</f>
        <v/>
      </c>
      <c r="J73" s="11" t="str">
        <f>IF(D73="","",('1.0 Sample_Prep'!$F$25))</f>
        <v/>
      </c>
      <c r="K73" s="96" t="str">
        <f>IFERROR(VLOOKUP(J73,DropDowns!$E$2:$F$18,2,FALSE),"")</f>
        <v/>
      </c>
      <c r="L73" s="11" t="str">
        <f>IF(D73="","",('1.0 Sample_Prep'!$E$3))</f>
        <v/>
      </c>
    </row>
    <row r="74" spans="2:12">
      <c r="B74" s="2">
        <v>67</v>
      </c>
      <c r="C74" s="2" t="s">
        <v>484</v>
      </c>
      <c r="D74" s="11" t="str">
        <f>IF('1.0 Sample_Prep'!O26="","",('1.0 Sample_Prep'!O26&amp;"-HLA-"&amp;'1.0 Sample_Prep'!$E$3))</f>
        <v/>
      </c>
      <c r="E74" s="11" t="str">
        <f t="shared" si="2"/>
        <v/>
      </c>
      <c r="F74" s="11" t="str">
        <f>IF(D74="","",'1.0 Sample_Prep'!$E$3)</f>
        <v/>
      </c>
      <c r="G74" s="11" t="str">
        <f t="shared" si="3"/>
        <v/>
      </c>
      <c r="H74" s="11" t="str">
        <f>IF('1.1 LinearView'!D74="","",('1.0 Sample_Prep'!$O$23))</f>
        <v/>
      </c>
      <c r="I74" s="96" t="str">
        <f>IFERROR(VLOOKUP(H74,DropDowns!$C$2:$D$26,2,FALSE),"")</f>
        <v/>
      </c>
      <c r="J74" s="11" t="str">
        <f>IF(D74="","",('1.0 Sample_Prep'!$F$26))</f>
        <v/>
      </c>
      <c r="K74" s="96" t="str">
        <f>IFERROR(VLOOKUP(J74,DropDowns!$E$2:$F$18,2,FALSE),"")</f>
        <v/>
      </c>
      <c r="L74" s="11" t="str">
        <f>IF(D74="","",('1.0 Sample_Prep'!$E$3))</f>
        <v/>
      </c>
    </row>
    <row r="75" spans="2:12">
      <c r="B75" s="2">
        <v>68</v>
      </c>
      <c r="C75" s="2" t="s">
        <v>485</v>
      </c>
      <c r="D75" s="11" t="str">
        <f>IF('1.0 Sample_Prep'!O27="","",('1.0 Sample_Prep'!O27&amp;"-HLA-"&amp;'1.0 Sample_Prep'!$E$3))</f>
        <v/>
      </c>
      <c r="E75" s="11" t="str">
        <f t="shared" si="2"/>
        <v/>
      </c>
      <c r="F75" s="11" t="str">
        <f>IF(D75="","",'1.0 Sample_Prep'!$E$3)</f>
        <v/>
      </c>
      <c r="G75" s="11" t="str">
        <f t="shared" si="3"/>
        <v/>
      </c>
      <c r="H75" s="11" t="str">
        <f>IF('1.1 LinearView'!D75="","",('1.0 Sample_Prep'!$O$23))</f>
        <v/>
      </c>
      <c r="I75" s="96" t="str">
        <f>IFERROR(VLOOKUP(H75,DropDowns!$C$2:$D$26,2,FALSE),"")</f>
        <v/>
      </c>
      <c r="J75" s="11" t="str">
        <f>IF(D75="","",('1.0 Sample_Prep'!$F$27))</f>
        <v/>
      </c>
      <c r="K75" s="96" t="str">
        <f>IFERROR(VLOOKUP(J75,DropDowns!$E$2:$F$18,2,FALSE),"")</f>
        <v/>
      </c>
      <c r="L75" s="11" t="str">
        <f>IF(D75="","",('1.0 Sample_Prep'!$E$3))</f>
        <v/>
      </c>
    </row>
    <row r="76" spans="2:12">
      <c r="B76" s="2">
        <v>69</v>
      </c>
      <c r="C76" s="2" t="s">
        <v>486</v>
      </c>
      <c r="D76" s="11" t="str">
        <f>IF('1.0 Sample_Prep'!O28="","",('1.0 Sample_Prep'!O28&amp;"-HLA-"&amp;'1.0 Sample_Prep'!$E$3))</f>
        <v/>
      </c>
      <c r="E76" s="11" t="str">
        <f t="shared" si="2"/>
        <v/>
      </c>
      <c r="F76" s="11" t="str">
        <f>IF(D76="","",'1.0 Sample_Prep'!$E$3)</f>
        <v/>
      </c>
      <c r="G76" s="11" t="str">
        <f t="shared" si="3"/>
        <v/>
      </c>
      <c r="H76" s="11" t="str">
        <f>IF('1.1 LinearView'!D76="","",('1.0 Sample_Prep'!$O$23))</f>
        <v/>
      </c>
      <c r="I76" s="96" t="str">
        <f>IFERROR(VLOOKUP(H76,DropDowns!$C$2:$D$26,2,FALSE),"")</f>
        <v/>
      </c>
      <c r="J76" s="11" t="str">
        <f>IF(D76="","",('1.0 Sample_Prep'!$F$28))</f>
        <v/>
      </c>
      <c r="K76" s="96" t="str">
        <f>IFERROR(VLOOKUP(J76,DropDowns!$E$2:$F$18,2,FALSE),"")</f>
        <v/>
      </c>
      <c r="L76" s="11" t="str">
        <f>IF(D76="","",('1.0 Sample_Prep'!$E$3))</f>
        <v/>
      </c>
    </row>
    <row r="77" spans="2:12">
      <c r="B77" s="2">
        <v>70</v>
      </c>
      <c r="C77" s="2" t="s">
        <v>487</v>
      </c>
      <c r="D77" s="11" t="str">
        <f>IF('1.0 Sample_Prep'!O29="","",('1.0 Sample_Prep'!O29&amp;"-HLA-"&amp;'1.0 Sample_Prep'!$E$3))</f>
        <v/>
      </c>
      <c r="E77" s="11" t="str">
        <f t="shared" si="2"/>
        <v/>
      </c>
      <c r="F77" s="11" t="str">
        <f>IF(D77="","",'1.0 Sample_Prep'!$E$3)</f>
        <v/>
      </c>
      <c r="G77" s="11" t="str">
        <f t="shared" si="3"/>
        <v/>
      </c>
      <c r="H77" s="11" t="str">
        <f>IF('1.1 LinearView'!D77="","",('1.0 Sample_Prep'!$O$23))</f>
        <v/>
      </c>
      <c r="I77" s="96" t="str">
        <f>IFERROR(VLOOKUP(H77,DropDowns!$C$2:$D$26,2,FALSE),"")</f>
        <v/>
      </c>
      <c r="J77" s="11" t="str">
        <f>IF(D77="","",('1.0 Sample_Prep'!$F$29))</f>
        <v/>
      </c>
      <c r="K77" s="96" t="str">
        <f>IFERROR(VLOOKUP(J77,DropDowns!$E$2:$F$18,2,FALSE),"")</f>
        <v/>
      </c>
      <c r="L77" s="11" t="str">
        <f>IF(D77="","",('1.0 Sample_Prep'!$E$3))</f>
        <v/>
      </c>
    </row>
    <row r="78" spans="2:12">
      <c r="B78" s="2">
        <v>71</v>
      </c>
      <c r="C78" s="2" t="s">
        <v>488</v>
      </c>
      <c r="D78" s="11" t="str">
        <f>IF('1.0 Sample_Prep'!O30="","",('1.0 Sample_Prep'!O30&amp;"-HLA-"&amp;'1.0 Sample_Prep'!$E$3))</f>
        <v/>
      </c>
      <c r="E78" s="11" t="str">
        <f t="shared" si="2"/>
        <v/>
      </c>
      <c r="F78" s="11" t="str">
        <f>IF(D78="","",'1.0 Sample_Prep'!$E$3)</f>
        <v/>
      </c>
      <c r="G78" s="11" t="str">
        <f t="shared" si="3"/>
        <v/>
      </c>
      <c r="H78" s="11" t="str">
        <f>IF('1.1 LinearView'!D78="","",('1.0 Sample_Prep'!$O$23))</f>
        <v/>
      </c>
      <c r="I78" s="96" t="str">
        <f>IFERROR(VLOOKUP(H78,DropDowns!$C$2:$D$26,2,FALSE),"")</f>
        <v/>
      </c>
      <c r="J78" s="11" t="str">
        <f>IF(D78="","",('1.0 Sample_Prep'!$F$30))</f>
        <v/>
      </c>
      <c r="K78" s="96" t="str">
        <f>IFERROR(VLOOKUP(J78,DropDowns!$E$2:$F$18,2,FALSE),"")</f>
        <v/>
      </c>
      <c r="L78" s="11" t="str">
        <f>IF(D78="","",('1.0 Sample_Prep'!$E$3))</f>
        <v/>
      </c>
    </row>
    <row r="79" spans="2:12">
      <c r="B79" s="2">
        <v>72</v>
      </c>
      <c r="C79" s="2" t="s">
        <v>489</v>
      </c>
      <c r="D79" s="11" t="str">
        <f>IF('1.0 Sample_Prep'!O31="","",('1.0 Sample_Prep'!O31&amp;"-HLA-"&amp;'1.0 Sample_Prep'!$E$3))</f>
        <v/>
      </c>
      <c r="E79" s="11" t="str">
        <f t="shared" si="2"/>
        <v/>
      </c>
      <c r="F79" s="11" t="str">
        <f>IF(D79="","",'1.0 Sample_Prep'!$E$3)</f>
        <v/>
      </c>
      <c r="G79" s="11" t="str">
        <f t="shared" si="3"/>
        <v/>
      </c>
      <c r="H79" s="11" t="str">
        <f>IF('1.1 LinearView'!D79="","",('1.0 Sample_Prep'!$O$23))</f>
        <v/>
      </c>
      <c r="I79" s="96" t="str">
        <f>IFERROR(VLOOKUP(H79,DropDowns!$C$2:$D$26,2,FALSE),"")</f>
        <v/>
      </c>
      <c r="J79" s="11" t="str">
        <f>IF(D79="","",('1.0 Sample_Prep'!$F$31))</f>
        <v/>
      </c>
      <c r="K79" s="96" t="str">
        <f>IFERROR(VLOOKUP(J79,DropDowns!$E$2:$F$18,2,FALSE),"")</f>
        <v/>
      </c>
      <c r="L79" s="11" t="str">
        <f>IF(D79="","",('1.0 Sample_Prep'!$E$3))</f>
        <v/>
      </c>
    </row>
    <row r="80" spans="2:12">
      <c r="B80" s="64">
        <v>73</v>
      </c>
      <c r="C80" s="64" t="s">
        <v>266</v>
      </c>
      <c r="D80" s="12" t="str">
        <f>IF('1.0 Sample_Prep'!P24="","",('1.0 Sample_Prep'!P24&amp;"-HLA-"&amp;'1.0 Sample_Prep'!$E$3))</f>
        <v/>
      </c>
      <c r="E80" s="12" t="str">
        <f t="shared" si="2"/>
        <v/>
      </c>
      <c r="F80" s="12" t="str">
        <f>IF(D80="","",'1.0 Sample_Prep'!$E$3)</f>
        <v/>
      </c>
      <c r="G80" s="12" t="str">
        <f t="shared" si="3"/>
        <v/>
      </c>
      <c r="H80" s="12" t="str">
        <f>IF('1.1 LinearView'!D80="","",('1.0 Sample_Prep'!$P$23))</f>
        <v/>
      </c>
      <c r="I80" s="13" t="str">
        <f>IFERROR(VLOOKUP(H80,DropDowns!$C$2:$D$26,2,FALSE),"")</f>
        <v/>
      </c>
      <c r="J80" s="12" t="str">
        <f>IF(D80="","",('1.0 Sample_Prep'!$F$24))</f>
        <v/>
      </c>
      <c r="K80" s="13" t="str">
        <f>IFERROR(VLOOKUP(J80,DropDowns!$E$2:$F$18,2,FALSE),"")</f>
        <v/>
      </c>
      <c r="L80" s="12" t="str">
        <f>IF(D80="","",('1.0 Sample_Prep'!$E$3))</f>
        <v/>
      </c>
    </row>
    <row r="81" spans="2:12">
      <c r="B81" s="64">
        <v>74</v>
      </c>
      <c r="C81" s="64" t="s">
        <v>268</v>
      </c>
      <c r="D81" s="12" t="str">
        <f>IF('1.0 Sample_Prep'!P25="","",('1.0 Sample_Prep'!P25&amp;"-HLA-"&amp;'1.0 Sample_Prep'!$E$3))</f>
        <v/>
      </c>
      <c r="E81" s="12" t="str">
        <f t="shared" si="2"/>
        <v/>
      </c>
      <c r="F81" s="12" t="str">
        <f>IF(D81="","",'1.0 Sample_Prep'!$E$3)</f>
        <v/>
      </c>
      <c r="G81" s="12" t="str">
        <f t="shared" si="3"/>
        <v/>
      </c>
      <c r="H81" s="12" t="str">
        <f>IF('1.1 LinearView'!D81="","",('1.0 Sample_Prep'!$P$23))</f>
        <v/>
      </c>
      <c r="I81" s="13" t="str">
        <f>IFERROR(VLOOKUP(H81,DropDowns!$C$2:$D$26,2,FALSE),"")</f>
        <v/>
      </c>
      <c r="J81" s="12" t="str">
        <f>IF(D81="","",('1.0 Sample_Prep'!$F$25))</f>
        <v/>
      </c>
      <c r="K81" s="13" t="str">
        <f>IFERROR(VLOOKUP(J81,DropDowns!$E$2:$F$18,2,FALSE),"")</f>
        <v/>
      </c>
      <c r="L81" s="12" t="str">
        <f>IF(D81="","",('1.0 Sample_Prep'!$E$3))</f>
        <v/>
      </c>
    </row>
    <row r="82" spans="2:12">
      <c r="B82" s="64">
        <v>75</v>
      </c>
      <c r="C82" s="64" t="s">
        <v>270</v>
      </c>
      <c r="D82" s="12" t="str">
        <f>IF('1.0 Sample_Prep'!P26="","",('1.0 Sample_Prep'!P26&amp;"-HLA-"&amp;'1.0 Sample_Prep'!$E$3))</f>
        <v/>
      </c>
      <c r="E82" s="12" t="str">
        <f t="shared" si="2"/>
        <v/>
      </c>
      <c r="F82" s="12" t="str">
        <f>IF(D82="","",'1.0 Sample_Prep'!$E$3)</f>
        <v/>
      </c>
      <c r="G82" s="12" t="str">
        <f t="shared" si="3"/>
        <v/>
      </c>
      <c r="H82" s="12" t="str">
        <f>IF('1.1 LinearView'!D82="","",('1.0 Sample_Prep'!$P$23))</f>
        <v/>
      </c>
      <c r="I82" s="13" t="str">
        <f>IFERROR(VLOOKUP(H82,DropDowns!$C$2:$D$26,2,FALSE),"")</f>
        <v/>
      </c>
      <c r="J82" s="12" t="str">
        <f>IF(D82="","",('1.0 Sample_Prep'!$F$26))</f>
        <v/>
      </c>
      <c r="K82" s="13" t="str">
        <f>IFERROR(VLOOKUP(J82,DropDowns!$E$2:$F$18,2,FALSE),"")</f>
        <v/>
      </c>
      <c r="L82" s="12" t="str">
        <f>IF(D82="","",('1.0 Sample_Prep'!$E$3))</f>
        <v/>
      </c>
    </row>
    <row r="83" spans="2:12">
      <c r="B83" s="64">
        <v>76</v>
      </c>
      <c r="C83" s="64" t="s">
        <v>272</v>
      </c>
      <c r="D83" s="12" t="str">
        <f>IF('1.0 Sample_Prep'!P27="","",('1.0 Sample_Prep'!P27&amp;"-HLA-"&amp;'1.0 Sample_Prep'!$E$3))</f>
        <v/>
      </c>
      <c r="E83" s="12" t="str">
        <f t="shared" si="2"/>
        <v/>
      </c>
      <c r="F83" s="12" t="str">
        <f>IF(D83="","",'1.0 Sample_Prep'!$E$3)</f>
        <v/>
      </c>
      <c r="G83" s="12" t="str">
        <f t="shared" si="3"/>
        <v/>
      </c>
      <c r="H83" s="12" t="str">
        <f>IF('1.1 LinearView'!D83="","",('1.0 Sample_Prep'!$P$23))</f>
        <v/>
      </c>
      <c r="I83" s="13" t="str">
        <f>IFERROR(VLOOKUP(H83,DropDowns!$C$2:$D$26,2,FALSE),"")</f>
        <v/>
      </c>
      <c r="J83" s="12" t="str">
        <f>IF(D83="","",('1.0 Sample_Prep'!$F$27))</f>
        <v/>
      </c>
      <c r="K83" s="13" t="str">
        <f>IFERROR(VLOOKUP(J83,DropDowns!$E$2:$F$18,2,FALSE),"")</f>
        <v/>
      </c>
      <c r="L83" s="12" t="str">
        <f>IF(D83="","",('1.0 Sample_Prep'!$E$3))</f>
        <v/>
      </c>
    </row>
    <row r="84" spans="2:12">
      <c r="B84" s="64">
        <v>77</v>
      </c>
      <c r="C84" s="64" t="s">
        <v>274</v>
      </c>
      <c r="D84" s="12" t="str">
        <f>IF('1.0 Sample_Prep'!P28="","",('1.0 Sample_Prep'!P28&amp;"-HLA-"&amp;'1.0 Sample_Prep'!$E$3))</f>
        <v/>
      </c>
      <c r="E84" s="12" t="str">
        <f t="shared" si="2"/>
        <v/>
      </c>
      <c r="F84" s="12" t="str">
        <f>IF(D84="","",'1.0 Sample_Prep'!$E$3)</f>
        <v/>
      </c>
      <c r="G84" s="12" t="str">
        <f t="shared" si="3"/>
        <v/>
      </c>
      <c r="H84" s="12" t="str">
        <f>IF('1.1 LinearView'!D84="","",('1.0 Sample_Prep'!$P$23))</f>
        <v/>
      </c>
      <c r="I84" s="13" t="str">
        <f>IFERROR(VLOOKUP(H84,DropDowns!$C$2:$D$26,2,FALSE),"")</f>
        <v/>
      </c>
      <c r="J84" s="12" t="str">
        <f>IF(D84="","",('1.0 Sample_Prep'!$F$28))</f>
        <v/>
      </c>
      <c r="K84" s="13" t="str">
        <f>IFERROR(VLOOKUP(J84,DropDowns!$E$2:$F$18,2,FALSE),"")</f>
        <v/>
      </c>
      <c r="L84" s="12" t="str">
        <f>IF(D84="","",('1.0 Sample_Prep'!$E$3))</f>
        <v/>
      </c>
    </row>
    <row r="85" spans="2:12">
      <c r="B85" s="64">
        <v>78</v>
      </c>
      <c r="C85" s="64" t="s">
        <v>276</v>
      </c>
      <c r="D85" s="12" t="str">
        <f>IF('1.0 Sample_Prep'!P29="","",('1.0 Sample_Prep'!P29&amp;"-HLA-"&amp;'1.0 Sample_Prep'!$E$3))</f>
        <v/>
      </c>
      <c r="E85" s="12" t="str">
        <f t="shared" si="2"/>
        <v/>
      </c>
      <c r="F85" s="12" t="str">
        <f>IF(D85="","",'1.0 Sample_Prep'!$E$3)</f>
        <v/>
      </c>
      <c r="G85" s="12" t="str">
        <f t="shared" si="3"/>
        <v/>
      </c>
      <c r="H85" s="12" t="str">
        <f>IF('1.1 LinearView'!D85="","",('1.0 Sample_Prep'!$P$23))</f>
        <v/>
      </c>
      <c r="I85" s="13" t="str">
        <f>IFERROR(VLOOKUP(H85,DropDowns!$C$2:$D$26,2,FALSE),"")</f>
        <v/>
      </c>
      <c r="J85" s="12" t="str">
        <f>IF(D85="","",('1.0 Sample_Prep'!$F$29))</f>
        <v/>
      </c>
      <c r="K85" s="13" t="str">
        <f>IFERROR(VLOOKUP(J85,DropDowns!$E$2:$F$18,2,FALSE),"")</f>
        <v/>
      </c>
      <c r="L85" s="12" t="str">
        <f>IF(D85="","",('1.0 Sample_Prep'!$E$3))</f>
        <v/>
      </c>
    </row>
    <row r="86" spans="2:12">
      <c r="B86" s="64">
        <v>79</v>
      </c>
      <c r="C86" s="64" t="s">
        <v>278</v>
      </c>
      <c r="D86" s="12" t="str">
        <f>IF('1.0 Sample_Prep'!P30="","",('1.0 Sample_Prep'!P30&amp;"-HLA-"&amp;'1.0 Sample_Prep'!$E$3))</f>
        <v/>
      </c>
      <c r="E86" s="12" t="str">
        <f t="shared" si="2"/>
        <v/>
      </c>
      <c r="F86" s="12" t="str">
        <f>IF(D86="","",'1.0 Sample_Prep'!$E$3)</f>
        <v/>
      </c>
      <c r="G86" s="12" t="str">
        <f t="shared" si="3"/>
        <v/>
      </c>
      <c r="H86" s="12" t="str">
        <f>IF('1.1 LinearView'!D86="","",('1.0 Sample_Prep'!$P$23))</f>
        <v/>
      </c>
      <c r="I86" s="13" t="str">
        <f>IFERROR(VLOOKUP(H86,DropDowns!$C$2:$D$26,2,FALSE),"")</f>
        <v/>
      </c>
      <c r="J86" s="12" t="str">
        <f>IF(D86="","",('1.0 Sample_Prep'!$F$30))</f>
        <v/>
      </c>
      <c r="K86" s="13" t="str">
        <f>IFERROR(VLOOKUP(J86,DropDowns!$E$2:$F$18,2,FALSE),"")</f>
        <v/>
      </c>
      <c r="L86" s="12" t="str">
        <f>IF(D86="","",('1.0 Sample_Prep'!$E$3))</f>
        <v/>
      </c>
    </row>
    <row r="87" spans="2:12">
      <c r="B87" s="64">
        <v>80</v>
      </c>
      <c r="C87" s="64" t="s">
        <v>280</v>
      </c>
      <c r="D87" s="12" t="str">
        <f>IF('1.0 Sample_Prep'!P31="","",('1.0 Sample_Prep'!P31&amp;"-HLA-"&amp;'1.0 Sample_Prep'!$E$3))</f>
        <v/>
      </c>
      <c r="E87" s="12" t="str">
        <f t="shared" si="2"/>
        <v/>
      </c>
      <c r="F87" s="12" t="str">
        <f>IF(D87="","",'1.0 Sample_Prep'!$E$3)</f>
        <v/>
      </c>
      <c r="G87" s="12" t="str">
        <f t="shared" si="3"/>
        <v/>
      </c>
      <c r="H87" s="12" t="str">
        <f>IF('1.1 LinearView'!D87="","",('1.0 Sample_Prep'!$P$23))</f>
        <v/>
      </c>
      <c r="I87" s="13" t="str">
        <f>IFERROR(VLOOKUP(H87,DropDowns!$C$2:$D$26,2,FALSE),"")</f>
        <v/>
      </c>
      <c r="J87" s="12" t="str">
        <f>IF(D87="","",('1.0 Sample_Prep'!$F$31))</f>
        <v/>
      </c>
      <c r="K87" s="13" t="str">
        <f>IFERROR(VLOOKUP(J87,DropDowns!$E$2:$F$18,2,FALSE),"")</f>
        <v/>
      </c>
      <c r="L87" s="12" t="str">
        <f>IF(D87="","",('1.0 Sample_Prep'!$E$3))</f>
        <v/>
      </c>
    </row>
    <row r="88" spans="2:12">
      <c r="B88" s="2">
        <v>81</v>
      </c>
      <c r="C88" s="2" t="s">
        <v>282</v>
      </c>
      <c r="D88" s="11" t="str">
        <f>IF('1.0 Sample_Prep'!Q24="","",('1.0 Sample_Prep'!Q24&amp;"-HLA-"&amp;'1.0 Sample_Prep'!$E$3))</f>
        <v/>
      </c>
      <c r="E88" s="11" t="str">
        <f t="shared" si="2"/>
        <v/>
      </c>
      <c r="F88" s="11" t="str">
        <f>IF(D88="","",'1.0 Sample_Prep'!$E$3)</f>
        <v/>
      </c>
      <c r="G88" s="11" t="str">
        <f t="shared" si="3"/>
        <v/>
      </c>
      <c r="H88" s="11" t="str">
        <f>IF('1.1 LinearView'!D88="","",('1.0 Sample_Prep'!$Q$23))</f>
        <v/>
      </c>
      <c r="I88" s="96" t="str">
        <f>IFERROR(VLOOKUP(H88,DropDowns!$C$2:$D$26,2,FALSE),"")</f>
        <v/>
      </c>
      <c r="J88" s="11" t="str">
        <f>IF(D88="","",('1.0 Sample_Prep'!$F$24))</f>
        <v/>
      </c>
      <c r="K88" s="96" t="str">
        <f>IFERROR(VLOOKUP(J88,DropDowns!$E$2:$F$18,2,FALSE),"")</f>
        <v/>
      </c>
      <c r="L88" s="11" t="str">
        <f>IF(D88="","",('1.0 Sample_Prep'!$E$3))</f>
        <v/>
      </c>
    </row>
    <row r="89" spans="2:12">
      <c r="B89" s="2">
        <v>82</v>
      </c>
      <c r="C89" s="2" t="s">
        <v>284</v>
      </c>
      <c r="D89" s="11" t="str">
        <f>IF('1.0 Sample_Prep'!Q25="","",('1.0 Sample_Prep'!Q25&amp;"-HLA-"&amp;'1.0 Sample_Prep'!$E$3))</f>
        <v/>
      </c>
      <c r="E89" s="11" t="str">
        <f t="shared" si="2"/>
        <v/>
      </c>
      <c r="F89" s="11" t="str">
        <f>IF(D89="","",'1.0 Sample_Prep'!$E$3)</f>
        <v/>
      </c>
      <c r="G89" s="11" t="str">
        <f t="shared" si="3"/>
        <v/>
      </c>
      <c r="H89" s="11" t="str">
        <f>IF('1.1 LinearView'!D89="","",('1.0 Sample_Prep'!$Q$23))</f>
        <v/>
      </c>
      <c r="I89" s="96" t="str">
        <f>IFERROR(VLOOKUP(H89,DropDowns!$C$2:$D$26,2,FALSE),"")</f>
        <v/>
      </c>
      <c r="J89" s="11" t="str">
        <f>IF(D89="","",('1.0 Sample_Prep'!$F$25))</f>
        <v/>
      </c>
      <c r="K89" s="96" t="str">
        <f>IFERROR(VLOOKUP(J89,DropDowns!$E$2:$F$18,2,FALSE),"")</f>
        <v/>
      </c>
      <c r="L89" s="11" t="str">
        <f>IF(D89="","",('1.0 Sample_Prep'!$E$3))</f>
        <v/>
      </c>
    </row>
    <row r="90" spans="2:12">
      <c r="B90" s="2">
        <v>83</v>
      </c>
      <c r="C90" s="2" t="s">
        <v>286</v>
      </c>
      <c r="D90" s="11" t="str">
        <f>IF('1.0 Sample_Prep'!Q26="","",('1.0 Sample_Prep'!Q26&amp;"-HLA-"&amp;'1.0 Sample_Prep'!$E$3))</f>
        <v/>
      </c>
      <c r="E90" s="11" t="str">
        <f t="shared" si="2"/>
        <v/>
      </c>
      <c r="F90" s="11" t="str">
        <f>IF(D90="","",'1.0 Sample_Prep'!$E$3)</f>
        <v/>
      </c>
      <c r="G90" s="11" t="str">
        <f t="shared" si="3"/>
        <v/>
      </c>
      <c r="H90" s="11" t="str">
        <f>IF('1.1 LinearView'!D90="","",('1.0 Sample_Prep'!$Q$23))</f>
        <v/>
      </c>
      <c r="I90" s="96" t="str">
        <f>IFERROR(VLOOKUP(H90,DropDowns!$C$2:$D$26,2,FALSE),"")</f>
        <v/>
      </c>
      <c r="J90" s="11" t="str">
        <f>IF(D90="","",('1.0 Sample_Prep'!$F$26))</f>
        <v/>
      </c>
      <c r="K90" s="96" t="str">
        <f>IFERROR(VLOOKUP(J90,DropDowns!$E$2:$F$18,2,FALSE),"")</f>
        <v/>
      </c>
      <c r="L90" s="11" t="str">
        <f>IF(D90="","",('1.0 Sample_Prep'!$E$3))</f>
        <v/>
      </c>
    </row>
    <row r="91" spans="2:12">
      <c r="B91" s="2">
        <v>84</v>
      </c>
      <c r="C91" s="2" t="s">
        <v>288</v>
      </c>
      <c r="D91" s="11" t="str">
        <f>IF('1.0 Sample_Prep'!Q27="","",('1.0 Sample_Prep'!Q27&amp;"-HLA-"&amp;'1.0 Sample_Prep'!$E$3))</f>
        <v/>
      </c>
      <c r="E91" s="11" t="str">
        <f t="shared" si="2"/>
        <v/>
      </c>
      <c r="F91" s="11" t="str">
        <f>IF(D91="","",'1.0 Sample_Prep'!$E$3)</f>
        <v/>
      </c>
      <c r="G91" s="11" t="str">
        <f t="shared" si="3"/>
        <v/>
      </c>
      <c r="H91" s="11" t="str">
        <f>IF('1.1 LinearView'!D91="","",('1.0 Sample_Prep'!$Q$23))</f>
        <v/>
      </c>
      <c r="I91" s="96" t="str">
        <f>IFERROR(VLOOKUP(H91,DropDowns!$C$2:$D$26,2,FALSE),"")</f>
        <v/>
      </c>
      <c r="J91" s="11" t="str">
        <f>IF(D91="","",('1.0 Sample_Prep'!$F$27))</f>
        <v/>
      </c>
      <c r="K91" s="96" t="str">
        <f>IFERROR(VLOOKUP(J91,DropDowns!$E$2:$F$18,2,FALSE),"")</f>
        <v/>
      </c>
      <c r="L91" s="11" t="str">
        <f>IF(D91="","",('1.0 Sample_Prep'!$E$3))</f>
        <v/>
      </c>
    </row>
    <row r="92" spans="2:12">
      <c r="B92" s="2">
        <v>85</v>
      </c>
      <c r="C92" s="2" t="s">
        <v>290</v>
      </c>
      <c r="D92" s="11" t="str">
        <f>IF('1.0 Sample_Prep'!Q28="","",('1.0 Sample_Prep'!Q28&amp;"-HLA-"&amp;'1.0 Sample_Prep'!$E$3))</f>
        <v/>
      </c>
      <c r="E92" s="11" t="str">
        <f t="shared" si="2"/>
        <v/>
      </c>
      <c r="F92" s="11" t="str">
        <f>IF(D92="","",'1.0 Sample_Prep'!$E$3)</f>
        <v/>
      </c>
      <c r="G92" s="11" t="str">
        <f t="shared" si="3"/>
        <v/>
      </c>
      <c r="H92" s="11" t="str">
        <f>IF('1.1 LinearView'!D92="","",('1.0 Sample_Prep'!$Q$23))</f>
        <v/>
      </c>
      <c r="I92" s="96" t="str">
        <f>IFERROR(VLOOKUP(H92,DropDowns!$C$2:$D$26,2,FALSE),"")</f>
        <v/>
      </c>
      <c r="J92" s="11" t="str">
        <f>IF(D92="","",('1.0 Sample_Prep'!$F$28))</f>
        <v/>
      </c>
      <c r="K92" s="96" t="str">
        <f>IFERROR(VLOOKUP(J92,DropDowns!$E$2:$F$18,2,FALSE),"")</f>
        <v/>
      </c>
      <c r="L92" s="11" t="str">
        <f>IF(D92="","",('1.0 Sample_Prep'!$E$3))</f>
        <v/>
      </c>
    </row>
    <row r="93" spans="2:12">
      <c r="B93" s="2">
        <v>86</v>
      </c>
      <c r="C93" s="2" t="s">
        <v>292</v>
      </c>
      <c r="D93" s="11" t="str">
        <f>IF('1.0 Sample_Prep'!Q29="","",('1.0 Sample_Prep'!Q29&amp;"-HLA-"&amp;'1.0 Sample_Prep'!$E$3))</f>
        <v/>
      </c>
      <c r="E93" s="11" t="str">
        <f t="shared" si="2"/>
        <v/>
      </c>
      <c r="F93" s="11" t="str">
        <f>IF(D93="","",'1.0 Sample_Prep'!$E$3)</f>
        <v/>
      </c>
      <c r="G93" s="11" t="str">
        <f t="shared" si="3"/>
        <v/>
      </c>
      <c r="H93" s="11" t="str">
        <f>IF('1.1 LinearView'!D93="","",('1.0 Sample_Prep'!$Q$23))</f>
        <v/>
      </c>
      <c r="I93" s="96" t="str">
        <f>IFERROR(VLOOKUP(H93,DropDowns!$C$2:$D$26,2,FALSE),"")</f>
        <v/>
      </c>
      <c r="J93" s="11" t="str">
        <f>IF(D93="","",('1.0 Sample_Prep'!$F$29))</f>
        <v/>
      </c>
      <c r="K93" s="96" t="str">
        <f>IFERROR(VLOOKUP(J93,DropDowns!$E$2:$F$18,2,FALSE),"")</f>
        <v/>
      </c>
      <c r="L93" s="11" t="str">
        <f>IF(D93="","",('1.0 Sample_Prep'!$E$3))</f>
        <v/>
      </c>
    </row>
    <row r="94" spans="2:12">
      <c r="B94" s="2">
        <v>87</v>
      </c>
      <c r="C94" s="2" t="s">
        <v>294</v>
      </c>
      <c r="D94" s="11" t="str">
        <f>IF('1.0 Sample_Prep'!Q30="","",('1.0 Sample_Prep'!Q30&amp;"-HLA-"&amp;'1.0 Sample_Prep'!$E$3))</f>
        <v/>
      </c>
      <c r="E94" s="11" t="str">
        <f t="shared" si="2"/>
        <v/>
      </c>
      <c r="F94" s="11" t="str">
        <f>IF(D94="","",'1.0 Sample_Prep'!$E$3)</f>
        <v/>
      </c>
      <c r="G94" s="11" t="str">
        <f t="shared" si="3"/>
        <v/>
      </c>
      <c r="H94" s="11" t="str">
        <f>IF('1.1 LinearView'!D94="","",('1.0 Sample_Prep'!$Q$23))</f>
        <v/>
      </c>
      <c r="I94" s="96" t="str">
        <f>IFERROR(VLOOKUP(H94,DropDowns!$C$2:$D$26,2,FALSE),"")</f>
        <v/>
      </c>
      <c r="J94" s="11" t="str">
        <f>IF(D94="","",('1.0 Sample_Prep'!$F$30))</f>
        <v/>
      </c>
      <c r="K94" s="96" t="str">
        <f>IFERROR(VLOOKUP(J94,DropDowns!$E$2:$F$18,2,FALSE),"")</f>
        <v/>
      </c>
      <c r="L94" s="11" t="str">
        <f>IF(D94="","",('1.0 Sample_Prep'!$E$3))</f>
        <v/>
      </c>
    </row>
    <row r="95" spans="2:12">
      <c r="B95" s="2">
        <v>88</v>
      </c>
      <c r="C95" s="2" t="s">
        <v>296</v>
      </c>
      <c r="D95" s="11" t="str">
        <f>IF('1.0 Sample_Prep'!Q31="","",('1.0 Sample_Prep'!Q31&amp;"-HLA-"&amp;'1.0 Sample_Prep'!$E$3))</f>
        <v/>
      </c>
      <c r="E95" s="11" t="str">
        <f t="shared" si="2"/>
        <v/>
      </c>
      <c r="F95" s="11" t="str">
        <f>IF(D95="","",'1.0 Sample_Prep'!$E$3)</f>
        <v/>
      </c>
      <c r="G95" s="11" t="str">
        <f t="shared" si="3"/>
        <v/>
      </c>
      <c r="H95" s="11" t="str">
        <f>IF('1.1 LinearView'!D95="","",('1.0 Sample_Prep'!$Q$23))</f>
        <v/>
      </c>
      <c r="I95" s="96" t="str">
        <f>IFERROR(VLOOKUP(H95,DropDowns!$C$2:$D$26,2,FALSE),"")</f>
        <v/>
      </c>
      <c r="J95" s="11" t="str">
        <f>IF(D95="","",('1.0 Sample_Prep'!$F$31))</f>
        <v/>
      </c>
      <c r="K95" s="96" t="str">
        <f>IFERROR(VLOOKUP(J95,DropDowns!$E$2:$F$18,2,FALSE),"")</f>
        <v/>
      </c>
      <c r="L95" s="11" t="str">
        <f>IF(D95="","",('1.0 Sample_Prep'!$E$3))</f>
        <v/>
      </c>
    </row>
    <row r="96" spans="2:12">
      <c r="B96" s="64">
        <v>89</v>
      </c>
      <c r="C96" s="64" t="s">
        <v>298</v>
      </c>
      <c r="D96" s="12" t="str">
        <f>IF('1.0 Sample_Prep'!R24="","",('1.0 Sample_Prep'!R24&amp;"-HLA-"&amp;'1.0 Sample_Prep'!$E$3))</f>
        <v/>
      </c>
      <c r="E96" s="12" t="str">
        <f t="shared" si="2"/>
        <v/>
      </c>
      <c r="F96" s="12" t="str">
        <f>IF(D96="","",'1.0 Sample_Prep'!$E$3)</f>
        <v/>
      </c>
      <c r="G96" s="12" t="str">
        <f t="shared" si="3"/>
        <v/>
      </c>
      <c r="H96" s="12" t="str">
        <f>IF('1.1 LinearView'!D96="","",('1.0 Sample_Prep'!$R$23))</f>
        <v/>
      </c>
      <c r="I96" s="13" t="str">
        <f>IFERROR(VLOOKUP(H96,DropDowns!$C$2:$D$26,2,FALSE),"")</f>
        <v/>
      </c>
      <c r="J96" s="12" t="str">
        <f>IF(D96="","",('1.0 Sample_Prep'!$F$24))</f>
        <v/>
      </c>
      <c r="K96" s="13" t="str">
        <f>IFERROR(VLOOKUP(J96,DropDowns!$E$2:$F$18,2,FALSE),"")</f>
        <v/>
      </c>
      <c r="L96" s="12" t="str">
        <f>IF(D96="","",('1.0 Sample_Prep'!$E$3))</f>
        <v/>
      </c>
    </row>
    <row r="97" spans="1:13">
      <c r="B97" s="64">
        <v>90</v>
      </c>
      <c r="C97" s="64" t="s">
        <v>300</v>
      </c>
      <c r="D97" s="12" t="str">
        <f>IF('1.0 Sample_Prep'!R25="","",('1.0 Sample_Prep'!R25&amp;"-HLA-"&amp;'1.0 Sample_Prep'!$E$3))</f>
        <v/>
      </c>
      <c r="E97" s="12" t="str">
        <f t="shared" si="2"/>
        <v/>
      </c>
      <c r="F97" s="12" t="str">
        <f>IF(D97="","",'1.0 Sample_Prep'!$E$3)</f>
        <v/>
      </c>
      <c r="G97" s="12" t="str">
        <f t="shared" si="3"/>
        <v/>
      </c>
      <c r="H97" s="12" t="str">
        <f>IF('1.1 LinearView'!D97="","",('1.0 Sample_Prep'!$R$23))</f>
        <v/>
      </c>
      <c r="I97" s="13" t="str">
        <f>IFERROR(VLOOKUP(H97,DropDowns!$C$2:$D$26,2,FALSE),"")</f>
        <v/>
      </c>
      <c r="J97" s="12" t="str">
        <f>IF(D97="","",('1.0 Sample_Prep'!$F$25))</f>
        <v/>
      </c>
      <c r="K97" s="13" t="str">
        <f>IFERROR(VLOOKUP(J97,DropDowns!$E$2:$F$18,2,FALSE),"")</f>
        <v/>
      </c>
      <c r="L97" s="12" t="str">
        <f>IF(D97="","",('1.0 Sample_Prep'!$E$3))</f>
        <v/>
      </c>
    </row>
    <row r="98" spans="1:13">
      <c r="B98" s="64">
        <v>91</v>
      </c>
      <c r="C98" s="64" t="s">
        <v>302</v>
      </c>
      <c r="D98" s="12" t="str">
        <f>IF('1.0 Sample_Prep'!R26="","",('1.0 Sample_Prep'!R26&amp;"-HLA-"&amp;'1.0 Sample_Prep'!$E$3))</f>
        <v/>
      </c>
      <c r="E98" s="12" t="str">
        <f t="shared" si="2"/>
        <v/>
      </c>
      <c r="F98" s="12" t="str">
        <f>IF(D98="","",'1.0 Sample_Prep'!$E$3)</f>
        <v/>
      </c>
      <c r="G98" s="12" t="str">
        <f t="shared" si="3"/>
        <v/>
      </c>
      <c r="H98" s="12" t="str">
        <f>IF('1.1 LinearView'!D98="","",('1.0 Sample_Prep'!$R$23))</f>
        <v/>
      </c>
      <c r="I98" s="13" t="str">
        <f>IFERROR(VLOOKUP(H98,DropDowns!$C$2:$D$26,2,FALSE),"")</f>
        <v/>
      </c>
      <c r="J98" s="12" t="str">
        <f>IF(D98="","",('1.0 Sample_Prep'!$F$26))</f>
        <v/>
      </c>
      <c r="K98" s="13" t="str">
        <f>IFERROR(VLOOKUP(J98,DropDowns!$E$2:$F$18,2,FALSE),"")</f>
        <v/>
      </c>
      <c r="L98" s="12" t="str">
        <f>IF(D98="","",('1.0 Sample_Prep'!$E$3))</f>
        <v/>
      </c>
    </row>
    <row r="99" spans="1:13">
      <c r="B99" s="64">
        <v>92</v>
      </c>
      <c r="C99" s="64" t="s">
        <v>304</v>
      </c>
      <c r="D99" s="12" t="str">
        <f>IF('1.0 Sample_Prep'!R27="","",('1.0 Sample_Prep'!R27&amp;"-HLA-"&amp;'1.0 Sample_Prep'!$E$3))</f>
        <v/>
      </c>
      <c r="E99" s="12" t="str">
        <f t="shared" si="2"/>
        <v/>
      </c>
      <c r="F99" s="12" t="str">
        <f>IF(D99="","",'1.0 Sample_Prep'!$E$3)</f>
        <v/>
      </c>
      <c r="G99" s="12" t="str">
        <f t="shared" si="3"/>
        <v/>
      </c>
      <c r="H99" s="12" t="str">
        <f>IF('1.1 LinearView'!D99="","",('1.0 Sample_Prep'!$R$23))</f>
        <v/>
      </c>
      <c r="I99" s="13" t="str">
        <f>IFERROR(VLOOKUP(H99,DropDowns!$C$2:$D$26,2,FALSE),"")</f>
        <v/>
      </c>
      <c r="J99" s="12" t="str">
        <f>IF(D99="","",('1.0 Sample_Prep'!$F$27))</f>
        <v/>
      </c>
      <c r="K99" s="13" t="str">
        <f>IFERROR(VLOOKUP(J99,DropDowns!$E$2:$F$18,2,FALSE),"")</f>
        <v/>
      </c>
      <c r="L99" s="12" t="str">
        <f>IF(D99="","",('1.0 Sample_Prep'!$E$3))</f>
        <v/>
      </c>
    </row>
    <row r="100" spans="1:13">
      <c r="B100" s="64">
        <v>93</v>
      </c>
      <c r="C100" s="64" t="s">
        <v>306</v>
      </c>
      <c r="D100" s="12" t="str">
        <f>IF('1.0 Sample_Prep'!R28="","",('1.0 Sample_Prep'!R28&amp;"-HLA-"&amp;'1.0 Sample_Prep'!$E$3))</f>
        <v/>
      </c>
      <c r="E100" s="12" t="str">
        <f t="shared" si="2"/>
        <v/>
      </c>
      <c r="F100" s="12" t="str">
        <f>IF(D100="","",'1.0 Sample_Prep'!$E$3)</f>
        <v/>
      </c>
      <c r="G100" s="12" t="str">
        <f t="shared" si="3"/>
        <v/>
      </c>
      <c r="H100" s="12" t="str">
        <f>IF('1.1 LinearView'!D100="","",('1.0 Sample_Prep'!$R$23))</f>
        <v/>
      </c>
      <c r="I100" s="13" t="str">
        <f>IFERROR(VLOOKUP(H100,DropDowns!$C$2:$D$26,2,FALSE),"")</f>
        <v/>
      </c>
      <c r="J100" s="12" t="str">
        <f>IF(D100="","",('1.0 Sample_Prep'!$F$28))</f>
        <v/>
      </c>
      <c r="K100" s="13" t="str">
        <f>IFERROR(VLOOKUP(J100,DropDowns!$E$2:$F$18,2,FALSE),"")</f>
        <v/>
      </c>
      <c r="L100" s="12" t="str">
        <f>IF(D100="","",('1.0 Sample_Prep'!$E$3))</f>
        <v/>
      </c>
    </row>
    <row r="101" spans="1:13">
      <c r="B101" s="64">
        <v>94</v>
      </c>
      <c r="C101" s="64" t="s">
        <v>308</v>
      </c>
      <c r="D101" s="12" t="str">
        <f>IF('1.0 Sample_Prep'!R29="","",('1.0 Sample_Prep'!R29&amp;"-HLA-"&amp;'1.0 Sample_Prep'!$E$3))</f>
        <v/>
      </c>
      <c r="E101" s="12" t="str">
        <f t="shared" si="2"/>
        <v/>
      </c>
      <c r="F101" s="12" t="str">
        <f>IF(D101="","",'1.0 Sample_Prep'!$E$3)</f>
        <v/>
      </c>
      <c r="G101" s="12" t="str">
        <f t="shared" si="3"/>
        <v/>
      </c>
      <c r="H101" s="12" t="str">
        <f>IF('1.1 LinearView'!D101="","",('1.0 Sample_Prep'!$R$23))</f>
        <v/>
      </c>
      <c r="I101" s="13" t="str">
        <f>IFERROR(VLOOKUP(H101,DropDowns!$C$2:$D$26,2,FALSE),"")</f>
        <v/>
      </c>
      <c r="J101" s="12" t="str">
        <f>IF(D101="","",('1.0 Sample_Prep'!$F$29))</f>
        <v/>
      </c>
      <c r="K101" s="13" t="str">
        <f>IFERROR(VLOOKUP(J101,DropDowns!$E$2:$F$18,2,FALSE),"")</f>
        <v/>
      </c>
      <c r="L101" s="12" t="str">
        <f>IF(D101="","",('1.0 Sample_Prep'!$E$3))</f>
        <v/>
      </c>
    </row>
    <row r="102" spans="1:13">
      <c r="B102" s="64">
        <v>95</v>
      </c>
      <c r="C102" s="64" t="s">
        <v>310</v>
      </c>
      <c r="D102" s="12" t="str">
        <f>IF('1.0 Sample_Prep'!R30="","",('1.0 Sample_Prep'!R30&amp;"-HLA-"&amp;'1.0 Sample_Prep'!$E$3))</f>
        <v/>
      </c>
      <c r="E102" s="12" t="str">
        <f t="shared" si="2"/>
        <v/>
      </c>
      <c r="F102" s="12" t="str">
        <f>IF(D102="","",'1.0 Sample_Prep'!$E$3)</f>
        <v/>
      </c>
      <c r="G102" s="12" t="str">
        <f t="shared" si="3"/>
        <v/>
      </c>
      <c r="H102" s="12" t="str">
        <f>IF('1.1 LinearView'!D102="","",('1.0 Sample_Prep'!$R$23))</f>
        <v/>
      </c>
      <c r="I102" s="13" t="str">
        <f>IFERROR(VLOOKUP(H102,DropDowns!$C$2:$D$26,2,FALSE),"")</f>
        <v/>
      </c>
      <c r="J102" s="12" t="str">
        <f>IF(D102="","",('1.0 Sample_Prep'!$F$30))</f>
        <v/>
      </c>
      <c r="K102" s="13" t="str">
        <f>IFERROR(VLOOKUP(J102,DropDowns!$E$2:$F$18,2,FALSE),"")</f>
        <v/>
      </c>
      <c r="L102" s="12" t="str">
        <f>IF(D102="","",('1.0 Sample_Prep'!$E$3))</f>
        <v/>
      </c>
    </row>
    <row r="103" spans="1:13">
      <c r="B103" s="64">
        <v>96</v>
      </c>
      <c r="C103" s="64" t="s">
        <v>312</v>
      </c>
      <c r="D103" s="12" t="str">
        <f>IF('1.0 Sample_Prep'!R31="","",('1.0 Sample_Prep'!R31&amp;"-HLA-"&amp;'1.0 Sample_Prep'!$E$3))</f>
        <v/>
      </c>
      <c r="E103" s="12" t="str">
        <f t="shared" si="2"/>
        <v/>
      </c>
      <c r="F103" s="12" t="str">
        <f>IF(D103="","",'1.0 Sample_Prep'!$E$3)</f>
        <v/>
      </c>
      <c r="G103" s="12" t="str">
        <f t="shared" si="3"/>
        <v/>
      </c>
      <c r="H103" s="12" t="str">
        <f>IF('1.1 LinearView'!D103="","",('1.0 Sample_Prep'!$R$23))</f>
        <v/>
      </c>
      <c r="I103" s="13" t="str">
        <f>IFERROR(VLOOKUP(H103,DropDowns!$C$2:$D$26,2,FALSE),"")</f>
        <v/>
      </c>
      <c r="J103" s="12" t="str">
        <f>IF(D103="","",('1.0 Sample_Prep'!$F$31))</f>
        <v/>
      </c>
      <c r="K103" s="13" t="str">
        <f>IFERROR(VLOOKUP(J103,DropDowns!$E$2:$F$18,2,FALSE),"")</f>
        <v/>
      </c>
      <c r="L103" s="12" t="str">
        <f>IF(D103="","",('1.0 Sample_Prep'!$E$3))</f>
        <v/>
      </c>
    </row>
    <row r="105" spans="1:13" ht="18">
      <c r="A105" s="201" t="s">
        <v>490</v>
      </c>
      <c r="B105" s="201"/>
      <c r="C105" s="201"/>
      <c r="D105" s="201"/>
      <c r="E105" s="201"/>
      <c r="F105" s="201"/>
      <c r="G105" s="201"/>
      <c r="H105" s="201"/>
      <c r="I105" s="201"/>
      <c r="J105" s="201"/>
      <c r="K105" s="201"/>
      <c r="L105" s="201"/>
      <c r="M105" s="201"/>
    </row>
  </sheetData>
  <sheetProtection algorithmName="SHA-512" hashValue="GOlmrHWJ1fRayc8f7cWY30/Psx76ELBA99j9SRqFhk6GAtx2pKBgKxdHpsgrrJO/OWpMv3+qrbTPaa0zRfulfw==" saltValue="uGBmv5S2cIUoi2514tEWhg==" spinCount="100000" sheet="1" objects="1" scenarios="1"/>
  <mergeCells count="5">
    <mergeCell ref="A1:M1"/>
    <mergeCell ref="A105:M105"/>
    <mergeCell ref="B3:E3"/>
    <mergeCell ref="B4:E4"/>
    <mergeCell ref="B5:E5"/>
  </mergeCells>
  <printOptions horizontalCentered="1"/>
  <pageMargins left="0.70866141732283472" right="0.70866141732283472" top="0.74803149606299213" bottom="0.74803149606299213" header="0.31496062992125984" footer="0.31496062992125984"/>
  <pageSetup paperSize="9" scale="53" fitToHeight="0" orientation="landscape" r:id="rId1"/>
  <headerFooter>
    <oddHeader>&amp;R&amp;G</oddHeader>
    <oddFooter>&amp;L&amp;8Version: 1.0&amp;C&amp;8&amp;P of &amp;N&amp;R&amp;8Revidováno: září 2023</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54234-8952-4A11-9F71-BE8FE2B1B8CA}">
  <sheetPr codeName="Sheet7"/>
  <dimension ref="A1:M117"/>
  <sheetViews>
    <sheetView zoomScaleNormal="100" zoomScalePageLayoutView="140" workbookViewId="0"/>
  </sheetViews>
  <sheetFormatPr defaultColWidth="16.77734375" defaultRowHeight="14.4"/>
  <sheetData>
    <row r="1" spans="1:13">
      <c r="A1" t="s">
        <v>491</v>
      </c>
      <c r="D1" s="66"/>
      <c r="E1" s="66"/>
      <c r="F1" s="66"/>
      <c r="G1" s="66"/>
      <c r="H1" s="78"/>
      <c r="I1" s="66"/>
      <c r="J1" s="66"/>
    </row>
    <row r="2" spans="1:13">
      <c r="A2" t="s">
        <v>492</v>
      </c>
      <c r="B2">
        <v>5</v>
      </c>
      <c r="D2" s="66"/>
      <c r="E2" s="66"/>
      <c r="F2" s="66"/>
      <c r="G2" s="66"/>
      <c r="H2" s="78"/>
      <c r="I2" s="66"/>
      <c r="J2" s="66"/>
    </row>
    <row r="3" spans="1:13">
      <c r="A3" t="s">
        <v>493</v>
      </c>
      <c r="B3" t="str">
        <f>'1.0 Sample_Prep'!E8</f>
        <v>Zadejte</v>
      </c>
      <c r="D3" s="66"/>
      <c r="E3" s="66"/>
      <c r="F3" s="66"/>
      <c r="G3" s="66"/>
      <c r="H3" s="78"/>
      <c r="I3" s="66"/>
      <c r="J3" s="66"/>
    </row>
    <row r="4" spans="1:13">
      <c r="A4" t="s">
        <v>494</v>
      </c>
      <c r="B4" t="str">
        <f>'1.0 Sample_Prep'!E3</f>
        <v>Zadejte</v>
      </c>
      <c r="D4" s="66"/>
      <c r="E4" s="66"/>
      <c r="F4" s="66"/>
      <c r="G4" s="66"/>
      <c r="H4" s="78"/>
      <c r="I4" s="66"/>
      <c r="J4" s="66"/>
    </row>
    <row r="5" spans="1:13">
      <c r="A5" t="s">
        <v>495</v>
      </c>
      <c r="B5" s="79" t="str">
        <f>'1.0 Sample_Prep'!E9</f>
        <v>Zadejte</v>
      </c>
      <c r="D5" s="66"/>
      <c r="E5" s="66"/>
      <c r="F5" s="66"/>
      <c r="G5" s="66"/>
      <c r="H5" s="78"/>
      <c r="I5" s="66"/>
      <c r="J5" s="66"/>
    </row>
    <row r="6" spans="1:13">
      <c r="A6" t="s">
        <v>496</v>
      </c>
      <c r="B6" t="s">
        <v>497</v>
      </c>
      <c r="D6" s="66"/>
      <c r="E6" s="66"/>
      <c r="F6" s="66"/>
      <c r="G6" s="66"/>
      <c r="H6" s="78"/>
      <c r="I6" s="66"/>
      <c r="J6" s="66"/>
    </row>
    <row r="7" spans="1:13">
      <c r="A7" t="s">
        <v>498</v>
      </c>
      <c r="B7" t="s">
        <v>499</v>
      </c>
      <c r="D7" s="66"/>
      <c r="E7" s="66"/>
      <c r="F7" s="66"/>
      <c r="G7" s="66"/>
      <c r="H7" s="78"/>
      <c r="I7" s="66"/>
      <c r="J7" s="66"/>
    </row>
    <row r="8" spans="1:13">
      <c r="A8" t="s">
        <v>500</v>
      </c>
      <c r="B8" t="str">
        <f>'1.0 Sample_Prep'!E6</f>
        <v>Select</v>
      </c>
      <c r="D8" s="66"/>
      <c r="E8" s="66"/>
      <c r="F8" s="66"/>
      <c r="G8" s="66"/>
      <c r="H8" s="78"/>
      <c r="I8" s="66"/>
      <c r="J8" s="66"/>
    </row>
    <row r="9" spans="1:13">
      <c r="A9" t="s">
        <v>501</v>
      </c>
      <c r="B9" t="str">
        <f>'1.0 Sample_Prep'!E5</f>
        <v>Select</v>
      </c>
      <c r="D9" s="66"/>
      <c r="E9" s="66"/>
      <c r="F9" s="66"/>
      <c r="G9" s="66"/>
      <c r="H9" s="78"/>
      <c r="I9" s="66"/>
      <c r="J9" s="66"/>
    </row>
    <row r="10" spans="1:13">
      <c r="A10" t="s">
        <v>502</v>
      </c>
      <c r="B10" t="str">
        <f>'1.0 Sample_Prep'!E4</f>
        <v>Zadejte</v>
      </c>
      <c r="D10" s="66"/>
      <c r="E10" s="66"/>
      <c r="F10" s="66"/>
      <c r="G10" s="66"/>
      <c r="H10" s="78"/>
      <c r="I10" s="66"/>
      <c r="J10" s="66"/>
    </row>
    <row r="11" spans="1:13">
      <c r="A11" t="s">
        <v>503</v>
      </c>
      <c r="B11" t="s">
        <v>504</v>
      </c>
      <c r="D11" s="66"/>
      <c r="E11" s="66"/>
      <c r="F11" s="66"/>
      <c r="G11" s="66"/>
      <c r="H11" s="78"/>
      <c r="I11" s="66"/>
      <c r="J11" s="66"/>
    </row>
    <row r="12" spans="1:13">
      <c r="D12" s="66"/>
      <c r="E12" s="66"/>
      <c r="F12" s="66"/>
      <c r="G12" s="66"/>
      <c r="H12" s="78"/>
      <c r="I12" s="66"/>
      <c r="J12" s="66"/>
    </row>
    <row r="13" spans="1:13">
      <c r="A13" t="s">
        <v>505</v>
      </c>
      <c r="D13" s="66"/>
      <c r="E13" s="66"/>
      <c r="F13" s="66"/>
      <c r="G13" s="66"/>
      <c r="H13" s="78"/>
      <c r="I13" s="66"/>
      <c r="J13" s="66"/>
    </row>
    <row r="14" spans="1:13">
      <c r="D14" s="66"/>
      <c r="E14" s="66"/>
      <c r="F14" s="66"/>
      <c r="G14" s="66"/>
      <c r="H14" s="78"/>
      <c r="I14" s="66"/>
      <c r="J14" s="66"/>
    </row>
    <row r="15" spans="1:13">
      <c r="D15" s="66"/>
      <c r="E15" s="66"/>
      <c r="F15" s="66"/>
      <c r="G15" s="66"/>
      <c r="H15" s="78"/>
      <c r="I15" s="66"/>
      <c r="J15" s="66"/>
    </row>
    <row r="16" spans="1:13">
      <c r="A16" t="s">
        <v>506</v>
      </c>
      <c r="D16" s="66"/>
      <c r="E16" s="66"/>
      <c r="F16" s="66"/>
      <c r="G16" s="66"/>
      <c r="H16" s="78"/>
      <c r="I16" s="66"/>
      <c r="J16" s="66"/>
      <c r="M16" s="80"/>
    </row>
    <row r="17" spans="1:13">
      <c r="A17">
        <v>151</v>
      </c>
      <c r="D17" s="66"/>
      <c r="E17" s="66"/>
      <c r="F17" s="66"/>
      <c r="G17" s="66"/>
      <c r="H17" s="78"/>
      <c r="I17" s="66"/>
      <c r="J17" s="66"/>
      <c r="M17" s="81"/>
    </row>
    <row r="18" spans="1:13">
      <c r="A18">
        <v>151</v>
      </c>
      <c r="D18" s="66"/>
      <c r="E18" s="66"/>
      <c r="F18" s="66"/>
      <c r="G18" s="66"/>
      <c r="H18" s="78"/>
      <c r="I18" s="66"/>
      <c r="J18" s="66"/>
      <c r="M18" s="81"/>
    </row>
    <row r="19" spans="1:13">
      <c r="D19" s="66"/>
      <c r="E19" s="66"/>
      <c r="F19" s="66"/>
      <c r="G19" s="66"/>
      <c r="H19" s="78"/>
      <c r="I19" s="66"/>
      <c r="J19" s="66"/>
      <c r="L19" s="77"/>
    </row>
    <row r="20" spans="1:13">
      <c r="A20" t="s">
        <v>507</v>
      </c>
      <c r="D20" s="66"/>
      <c r="E20" s="66"/>
      <c r="F20" s="66"/>
      <c r="G20" s="66"/>
      <c r="H20" s="78"/>
      <c r="I20" s="66"/>
      <c r="J20" s="66"/>
    </row>
    <row r="21" spans="1:13">
      <c r="A21" t="s">
        <v>409</v>
      </c>
      <c r="B21" t="s">
        <v>410</v>
      </c>
      <c r="C21" t="s">
        <v>411</v>
      </c>
      <c r="D21" t="s">
        <v>412</v>
      </c>
      <c r="E21" t="s">
        <v>413</v>
      </c>
      <c r="F21" t="s">
        <v>414</v>
      </c>
      <c r="G21" t="s">
        <v>415</v>
      </c>
      <c r="H21" t="s">
        <v>416</v>
      </c>
      <c r="I21" t="s">
        <v>417</v>
      </c>
      <c r="J21" t="s">
        <v>508</v>
      </c>
    </row>
    <row r="22" spans="1:13">
      <c r="A22" s="77" t="str">
        <f>IF('1.1 LinearView'!D8=" ","",('1.1 LinearView'!D8))</f>
        <v/>
      </c>
      <c r="B22" s="77" t="str">
        <f>IF(A22=" ","",(A22))</f>
        <v/>
      </c>
      <c r="C22" s="77" t="str">
        <f>IF('1.1 LinearView'!F8=" ","",('1.1 LinearView'!F8))</f>
        <v/>
      </c>
      <c r="D22" s="77" t="str">
        <f>IF('1.1 LinearView'!G8=" ","",('1.1 LinearView'!G8))</f>
        <v/>
      </c>
      <c r="E22" s="77" t="str">
        <f>IF('1.1 LinearView'!H8=" ","",('1.1 LinearView'!H8))</f>
        <v/>
      </c>
      <c r="F22" s="77" t="str">
        <f>IF('1.1 LinearView'!I8=" ","",('1.1 LinearView'!I8))</f>
        <v/>
      </c>
      <c r="G22" s="77" t="str">
        <f>IF('1.1 LinearView'!J8=" ","",('1.1 LinearView'!J8))</f>
        <v/>
      </c>
      <c r="H22" s="77" t="str">
        <f>IF('1.1 LinearView'!K8=" ","",('1.1 LinearView'!K8))</f>
        <v/>
      </c>
      <c r="I22" s="77" t="str">
        <f>IF('1.1 LinearView'!L8=" ","",('1.1 LinearView'!L8))</f>
        <v/>
      </c>
      <c r="J22" s="77" t="str">
        <f>IF('1.1 LinearView'!L8="","",('1.0 Sample_Prep'!$E$3))</f>
        <v/>
      </c>
    </row>
    <row r="23" spans="1:13">
      <c r="A23" s="77" t="str">
        <f>IF('1.1 LinearView'!D9=" ","",('1.1 LinearView'!D9))</f>
        <v/>
      </c>
      <c r="B23" s="77" t="str">
        <f t="shared" ref="B23:B86" si="0">IF(A23=" ","",(A23))</f>
        <v/>
      </c>
      <c r="C23" s="77" t="str">
        <f>IF('1.1 LinearView'!F9=" ","",('1.1 LinearView'!F9))</f>
        <v/>
      </c>
      <c r="D23" s="77" t="str">
        <f>IF('1.1 LinearView'!G9=" ","",('1.1 LinearView'!G9))</f>
        <v/>
      </c>
      <c r="E23" s="77" t="str">
        <f>IF('1.1 LinearView'!H9=" ","",('1.1 LinearView'!H9))</f>
        <v/>
      </c>
      <c r="F23" s="77" t="str">
        <f>IF('1.1 LinearView'!I9=" ","",('1.1 LinearView'!I9))</f>
        <v/>
      </c>
      <c r="G23" s="77" t="str">
        <f>IF('1.1 LinearView'!J9=" ","",('1.1 LinearView'!J9))</f>
        <v/>
      </c>
      <c r="H23" s="77" t="str">
        <f>IF('1.1 LinearView'!K9=" ","",('1.1 LinearView'!K9))</f>
        <v/>
      </c>
      <c r="I23" s="77" t="str">
        <f>IF('1.1 LinearView'!L9=" ","",('1.1 LinearView'!L9))</f>
        <v/>
      </c>
      <c r="J23" s="77" t="str">
        <f>IF('1.1 LinearView'!L9="","",('1.0 Sample_Prep'!$E$3))</f>
        <v/>
      </c>
    </row>
    <row r="24" spans="1:13">
      <c r="A24" s="77" t="str">
        <f>IF('1.1 LinearView'!D10=" ","",('1.1 LinearView'!D10))</f>
        <v/>
      </c>
      <c r="B24" s="77" t="str">
        <f t="shared" si="0"/>
        <v/>
      </c>
      <c r="C24" s="77" t="str">
        <f>IF('1.1 LinearView'!F10=" ","",('1.1 LinearView'!F10))</f>
        <v/>
      </c>
      <c r="D24" s="77" t="str">
        <f>IF('1.1 LinearView'!G10=" ","",('1.1 LinearView'!G10))</f>
        <v/>
      </c>
      <c r="E24" s="77" t="str">
        <f>IF('1.1 LinearView'!H10=" ","",('1.1 LinearView'!H10))</f>
        <v/>
      </c>
      <c r="F24" s="77" t="str">
        <f>IF('1.1 LinearView'!I10=" ","",('1.1 LinearView'!I10))</f>
        <v/>
      </c>
      <c r="G24" s="77" t="str">
        <f>IF('1.1 LinearView'!J10=" ","",('1.1 LinearView'!J10))</f>
        <v/>
      </c>
      <c r="H24" s="77" t="str">
        <f>IF('1.1 LinearView'!K10=" ","",('1.1 LinearView'!K10))</f>
        <v/>
      </c>
      <c r="I24" s="77" t="str">
        <f>IF('1.1 LinearView'!L10=" ","",('1.1 LinearView'!L10))</f>
        <v/>
      </c>
      <c r="J24" s="77" t="str">
        <f>IF('1.1 LinearView'!L10="","",('1.0 Sample_Prep'!$E$3))</f>
        <v/>
      </c>
    </row>
    <row r="25" spans="1:13">
      <c r="A25" s="77" t="str">
        <f>IF('1.1 LinearView'!D11=" ","",('1.1 LinearView'!D11))</f>
        <v/>
      </c>
      <c r="B25" s="77" t="str">
        <f t="shared" si="0"/>
        <v/>
      </c>
      <c r="C25" s="77" t="str">
        <f>IF('1.1 LinearView'!F11=" ","",('1.1 LinearView'!F11))</f>
        <v/>
      </c>
      <c r="D25" s="77" t="str">
        <f>IF('1.1 LinearView'!G11=" ","",('1.1 LinearView'!G11))</f>
        <v/>
      </c>
      <c r="E25" s="77" t="str">
        <f>IF('1.1 LinearView'!H11=" ","",('1.1 LinearView'!H11))</f>
        <v/>
      </c>
      <c r="F25" s="77" t="str">
        <f>IF('1.1 LinearView'!I11=" ","",('1.1 LinearView'!I11))</f>
        <v/>
      </c>
      <c r="G25" s="77" t="str">
        <f>IF('1.1 LinearView'!J11=" ","",('1.1 LinearView'!J11))</f>
        <v/>
      </c>
      <c r="H25" s="77" t="str">
        <f>IF('1.1 LinearView'!K11=" ","",('1.1 LinearView'!K11))</f>
        <v/>
      </c>
      <c r="I25" s="77" t="str">
        <f>IF('1.1 LinearView'!L11=" ","",('1.1 LinearView'!L11))</f>
        <v/>
      </c>
      <c r="J25" s="77" t="str">
        <f>IF('1.1 LinearView'!L11="","",('1.0 Sample_Prep'!$E$3))</f>
        <v/>
      </c>
    </row>
    <row r="26" spans="1:13">
      <c r="A26" s="77" t="str">
        <f>IF('1.1 LinearView'!D12=" ","",('1.1 LinearView'!D12))</f>
        <v/>
      </c>
      <c r="B26" s="77" t="str">
        <f t="shared" si="0"/>
        <v/>
      </c>
      <c r="C26" s="77" t="str">
        <f>IF('1.1 LinearView'!F12=" ","",('1.1 LinearView'!F12))</f>
        <v/>
      </c>
      <c r="D26" s="77" t="str">
        <f>IF('1.1 LinearView'!G12=" ","",('1.1 LinearView'!G12))</f>
        <v/>
      </c>
      <c r="E26" s="77" t="str">
        <f>IF('1.1 LinearView'!H12=" ","",('1.1 LinearView'!H12))</f>
        <v/>
      </c>
      <c r="F26" s="77" t="str">
        <f>IF('1.1 LinearView'!I12=" ","",('1.1 LinearView'!I12))</f>
        <v/>
      </c>
      <c r="G26" s="77" t="str">
        <f>IF('1.1 LinearView'!J12=" ","",('1.1 LinearView'!J12))</f>
        <v/>
      </c>
      <c r="H26" s="77" t="str">
        <f>IF('1.1 LinearView'!K12=" ","",('1.1 LinearView'!K12))</f>
        <v/>
      </c>
      <c r="I26" s="77" t="str">
        <f>IF('1.1 LinearView'!L12=" ","",('1.1 LinearView'!L12))</f>
        <v/>
      </c>
      <c r="J26" s="77" t="str">
        <f>IF('1.1 LinearView'!L12="","",('1.0 Sample_Prep'!$E$3))</f>
        <v/>
      </c>
    </row>
    <row r="27" spans="1:13">
      <c r="A27" s="77" t="str">
        <f>IF('1.1 LinearView'!D13=" ","",('1.1 LinearView'!D13))</f>
        <v/>
      </c>
      <c r="B27" s="77" t="str">
        <f t="shared" si="0"/>
        <v/>
      </c>
      <c r="C27" s="77" t="str">
        <f>IF('1.1 LinearView'!F13=" ","",('1.1 LinearView'!F13))</f>
        <v/>
      </c>
      <c r="D27" s="77" t="str">
        <f>IF('1.1 LinearView'!G13=" ","",('1.1 LinearView'!G13))</f>
        <v/>
      </c>
      <c r="E27" s="77" t="str">
        <f>IF('1.1 LinearView'!H13=" ","",('1.1 LinearView'!H13))</f>
        <v/>
      </c>
      <c r="F27" s="77" t="str">
        <f>IF('1.1 LinearView'!I13=" ","",('1.1 LinearView'!I13))</f>
        <v/>
      </c>
      <c r="G27" s="77" t="str">
        <f>IF('1.1 LinearView'!J13=" ","",('1.1 LinearView'!J13))</f>
        <v/>
      </c>
      <c r="H27" s="77" t="str">
        <f>IF('1.1 LinearView'!K13=" ","",('1.1 LinearView'!K13))</f>
        <v/>
      </c>
      <c r="I27" s="77" t="str">
        <f>IF('1.1 LinearView'!L13=" ","",('1.1 LinearView'!L13))</f>
        <v/>
      </c>
      <c r="J27" s="77" t="str">
        <f>IF('1.1 LinearView'!L13="","",('1.0 Sample_Prep'!$E$3))</f>
        <v/>
      </c>
    </row>
    <row r="28" spans="1:13">
      <c r="A28" s="77" t="str">
        <f>IF('1.1 LinearView'!D14=" ","",('1.1 LinearView'!D14))</f>
        <v/>
      </c>
      <c r="B28" s="77" t="str">
        <f t="shared" si="0"/>
        <v/>
      </c>
      <c r="C28" s="77" t="str">
        <f>IF('1.1 LinearView'!F14=" ","",('1.1 LinearView'!F14))</f>
        <v/>
      </c>
      <c r="D28" s="77" t="str">
        <f>IF('1.1 LinearView'!G14=" ","",('1.1 LinearView'!G14))</f>
        <v/>
      </c>
      <c r="E28" s="77" t="str">
        <f>IF('1.1 LinearView'!H14=" ","",('1.1 LinearView'!H14))</f>
        <v/>
      </c>
      <c r="F28" s="77" t="str">
        <f>IF('1.1 LinearView'!I14=" ","",('1.1 LinearView'!I14))</f>
        <v/>
      </c>
      <c r="G28" s="77" t="str">
        <f>IF('1.1 LinearView'!J14=" ","",('1.1 LinearView'!J14))</f>
        <v/>
      </c>
      <c r="H28" s="77" t="str">
        <f>IF('1.1 LinearView'!K14=" ","",('1.1 LinearView'!K14))</f>
        <v/>
      </c>
      <c r="I28" s="77" t="str">
        <f>IF('1.1 LinearView'!L14=" ","",('1.1 LinearView'!L14))</f>
        <v/>
      </c>
      <c r="J28" s="77" t="str">
        <f>IF('1.1 LinearView'!L14="","",('1.0 Sample_Prep'!$E$3))</f>
        <v/>
      </c>
    </row>
    <row r="29" spans="1:13">
      <c r="A29" s="77" t="str">
        <f>IF('1.1 LinearView'!D15=" ","",('1.1 LinearView'!D15))</f>
        <v/>
      </c>
      <c r="B29" s="77" t="str">
        <f t="shared" si="0"/>
        <v/>
      </c>
      <c r="C29" s="77" t="str">
        <f>IF('1.1 LinearView'!F15=" ","",('1.1 LinearView'!F15))</f>
        <v/>
      </c>
      <c r="D29" s="77" t="str">
        <f>IF('1.1 LinearView'!G15=" ","",('1.1 LinearView'!G15))</f>
        <v/>
      </c>
      <c r="E29" s="77" t="str">
        <f>IF('1.1 LinearView'!H15=" ","",('1.1 LinearView'!H15))</f>
        <v/>
      </c>
      <c r="F29" s="77" t="str">
        <f>IF('1.1 LinearView'!I15=" ","",('1.1 LinearView'!I15))</f>
        <v/>
      </c>
      <c r="G29" s="77" t="str">
        <f>IF('1.1 LinearView'!J15=" ","",('1.1 LinearView'!J15))</f>
        <v/>
      </c>
      <c r="H29" s="77" t="str">
        <f>IF('1.1 LinearView'!K15=" ","",('1.1 LinearView'!K15))</f>
        <v/>
      </c>
      <c r="I29" s="77" t="str">
        <f>IF('1.1 LinearView'!L15=" ","",('1.1 LinearView'!L15))</f>
        <v/>
      </c>
      <c r="J29" s="77" t="str">
        <f>IF('1.1 LinearView'!L15="","",('1.0 Sample_Prep'!$E$3))</f>
        <v/>
      </c>
    </row>
    <row r="30" spans="1:13">
      <c r="A30" s="77" t="str">
        <f>IF('1.1 LinearView'!D16=" ","",('1.1 LinearView'!D16))</f>
        <v/>
      </c>
      <c r="B30" s="77" t="str">
        <f t="shared" si="0"/>
        <v/>
      </c>
      <c r="C30" s="77" t="str">
        <f>IF('1.1 LinearView'!F16=" ","",('1.1 LinearView'!F16))</f>
        <v/>
      </c>
      <c r="D30" s="77" t="str">
        <f>IF('1.1 LinearView'!G16=" ","",('1.1 LinearView'!G16))</f>
        <v/>
      </c>
      <c r="E30" s="77" t="str">
        <f>IF('1.1 LinearView'!H16=" ","",('1.1 LinearView'!H16))</f>
        <v/>
      </c>
      <c r="F30" s="77" t="str">
        <f>IF('1.1 LinearView'!I16=" ","",('1.1 LinearView'!I16))</f>
        <v/>
      </c>
      <c r="G30" s="77" t="str">
        <f>IF('1.1 LinearView'!J16=" ","",('1.1 LinearView'!J16))</f>
        <v/>
      </c>
      <c r="H30" s="77" t="str">
        <f>IF('1.1 LinearView'!K16=" ","",('1.1 LinearView'!K16))</f>
        <v/>
      </c>
      <c r="I30" s="77" t="str">
        <f>IF('1.1 LinearView'!L16=" ","",('1.1 LinearView'!L16))</f>
        <v/>
      </c>
      <c r="J30" s="77" t="str">
        <f>IF('1.1 LinearView'!L16="","",('1.0 Sample_Prep'!$E$3))</f>
        <v/>
      </c>
    </row>
    <row r="31" spans="1:13">
      <c r="A31" s="77" t="str">
        <f>IF('1.1 LinearView'!D17=" ","",('1.1 LinearView'!D17))</f>
        <v/>
      </c>
      <c r="B31" s="77" t="str">
        <f t="shared" si="0"/>
        <v/>
      </c>
      <c r="C31" s="77" t="str">
        <f>IF('1.1 LinearView'!F17=" ","",('1.1 LinearView'!F17))</f>
        <v/>
      </c>
      <c r="D31" s="77" t="str">
        <f>IF('1.1 LinearView'!G17=" ","",('1.1 LinearView'!G17))</f>
        <v/>
      </c>
      <c r="E31" s="77" t="str">
        <f>IF('1.1 LinearView'!H17=" ","",('1.1 LinearView'!H17))</f>
        <v/>
      </c>
      <c r="F31" s="77" t="str">
        <f>IF('1.1 LinearView'!I17=" ","",('1.1 LinearView'!I17))</f>
        <v/>
      </c>
      <c r="G31" s="77" t="str">
        <f>IF('1.1 LinearView'!J17=" ","",('1.1 LinearView'!J17))</f>
        <v/>
      </c>
      <c r="H31" s="77" t="str">
        <f>IF('1.1 LinearView'!K17=" ","",('1.1 LinearView'!K17))</f>
        <v/>
      </c>
      <c r="I31" s="77" t="str">
        <f>IF('1.1 LinearView'!L17=" ","",('1.1 LinearView'!L17))</f>
        <v/>
      </c>
      <c r="J31" s="77" t="str">
        <f>IF('1.1 LinearView'!L17="","",('1.0 Sample_Prep'!$E$3))</f>
        <v/>
      </c>
    </row>
    <row r="32" spans="1:13">
      <c r="A32" s="77" t="str">
        <f>IF('1.1 LinearView'!D18=" ","",('1.1 LinearView'!D18))</f>
        <v/>
      </c>
      <c r="B32" s="77" t="str">
        <f t="shared" si="0"/>
        <v/>
      </c>
      <c r="C32" s="77" t="str">
        <f>IF('1.1 LinearView'!F18=" ","",('1.1 LinearView'!F18))</f>
        <v/>
      </c>
      <c r="D32" s="77" t="str">
        <f>IF('1.1 LinearView'!G18=" ","",('1.1 LinearView'!G18))</f>
        <v/>
      </c>
      <c r="E32" s="77" t="str">
        <f>IF('1.1 LinearView'!H18=" ","",('1.1 LinearView'!H18))</f>
        <v/>
      </c>
      <c r="F32" s="77" t="str">
        <f>IF('1.1 LinearView'!I18=" ","",('1.1 LinearView'!I18))</f>
        <v/>
      </c>
      <c r="G32" s="77" t="str">
        <f>IF('1.1 LinearView'!J18=" ","",('1.1 LinearView'!J18))</f>
        <v/>
      </c>
      <c r="H32" s="77" t="str">
        <f>IF('1.1 LinearView'!K18=" ","",('1.1 LinearView'!K18))</f>
        <v/>
      </c>
      <c r="I32" s="77" t="str">
        <f>IF('1.1 LinearView'!L18=" ","",('1.1 LinearView'!L18))</f>
        <v/>
      </c>
      <c r="J32" s="77" t="str">
        <f>IF('1.1 LinearView'!L18="","",('1.0 Sample_Prep'!$E$3))</f>
        <v/>
      </c>
    </row>
    <row r="33" spans="1:10">
      <c r="A33" s="77" t="str">
        <f>IF('1.1 LinearView'!D19=" ","",('1.1 LinearView'!D19))</f>
        <v/>
      </c>
      <c r="B33" s="77" t="str">
        <f t="shared" si="0"/>
        <v/>
      </c>
      <c r="C33" s="77" t="str">
        <f>IF('1.1 LinearView'!F19=" ","",('1.1 LinearView'!F19))</f>
        <v/>
      </c>
      <c r="D33" s="77" t="str">
        <f>IF('1.1 LinearView'!G19=" ","",('1.1 LinearView'!G19))</f>
        <v/>
      </c>
      <c r="E33" s="77" t="str">
        <f>IF('1.1 LinearView'!H19=" ","",('1.1 LinearView'!H19))</f>
        <v/>
      </c>
      <c r="F33" s="77" t="str">
        <f>IF('1.1 LinearView'!I19=" ","",('1.1 LinearView'!I19))</f>
        <v/>
      </c>
      <c r="G33" s="77" t="str">
        <f>IF('1.1 LinearView'!J19=" ","",('1.1 LinearView'!J19))</f>
        <v/>
      </c>
      <c r="H33" s="77" t="str">
        <f>IF('1.1 LinearView'!K19=" ","",('1.1 LinearView'!K19))</f>
        <v/>
      </c>
      <c r="I33" s="77" t="str">
        <f>IF('1.1 LinearView'!L19=" ","",('1.1 LinearView'!L19))</f>
        <v/>
      </c>
      <c r="J33" s="77" t="str">
        <f>IF('1.1 LinearView'!L19="","",('1.0 Sample_Prep'!$E$3))</f>
        <v/>
      </c>
    </row>
    <row r="34" spans="1:10">
      <c r="A34" s="77" t="str">
        <f>IF('1.1 LinearView'!D20=" ","",('1.1 LinearView'!D20))</f>
        <v/>
      </c>
      <c r="B34" s="77" t="str">
        <f t="shared" si="0"/>
        <v/>
      </c>
      <c r="C34" s="77" t="str">
        <f>IF('1.1 LinearView'!F20=" ","",('1.1 LinearView'!F20))</f>
        <v/>
      </c>
      <c r="D34" s="77" t="str">
        <f>IF('1.1 LinearView'!G20=" ","",('1.1 LinearView'!G20))</f>
        <v/>
      </c>
      <c r="E34" s="77" t="str">
        <f>IF('1.1 LinearView'!H20=" ","",('1.1 LinearView'!H20))</f>
        <v/>
      </c>
      <c r="F34" s="77" t="str">
        <f>IF('1.1 LinearView'!I20=" ","",('1.1 LinearView'!I20))</f>
        <v/>
      </c>
      <c r="G34" s="77" t="str">
        <f>IF('1.1 LinearView'!J20=" ","",('1.1 LinearView'!J20))</f>
        <v/>
      </c>
      <c r="H34" s="77" t="str">
        <f>IF('1.1 LinearView'!K20=" ","",('1.1 LinearView'!K20))</f>
        <v/>
      </c>
      <c r="I34" s="77" t="str">
        <f>IF('1.1 LinearView'!L20=" ","",('1.1 LinearView'!L20))</f>
        <v/>
      </c>
      <c r="J34" s="77" t="str">
        <f>IF('1.1 LinearView'!L20="","",('1.0 Sample_Prep'!$E$3))</f>
        <v/>
      </c>
    </row>
    <row r="35" spans="1:10">
      <c r="A35" s="77" t="str">
        <f>IF('1.1 LinearView'!D21=" ","",('1.1 LinearView'!D21))</f>
        <v/>
      </c>
      <c r="B35" s="77" t="str">
        <f t="shared" si="0"/>
        <v/>
      </c>
      <c r="C35" s="77" t="str">
        <f>IF('1.1 LinearView'!F21=" ","",('1.1 LinearView'!F21))</f>
        <v/>
      </c>
      <c r="D35" s="77" t="str">
        <f>IF('1.1 LinearView'!G21=" ","",('1.1 LinearView'!G21))</f>
        <v/>
      </c>
      <c r="E35" s="77" t="str">
        <f>IF('1.1 LinearView'!H21=" ","",('1.1 LinearView'!H21))</f>
        <v/>
      </c>
      <c r="F35" s="77" t="str">
        <f>IF('1.1 LinearView'!I21=" ","",('1.1 LinearView'!I21))</f>
        <v/>
      </c>
      <c r="G35" s="77" t="str">
        <f>IF('1.1 LinearView'!J21=" ","",('1.1 LinearView'!J21))</f>
        <v/>
      </c>
      <c r="H35" s="77" t="str">
        <f>IF('1.1 LinearView'!K21=" ","",('1.1 LinearView'!K21))</f>
        <v/>
      </c>
      <c r="I35" s="77" t="str">
        <f>IF('1.1 LinearView'!L21=" ","",('1.1 LinearView'!L21))</f>
        <v/>
      </c>
      <c r="J35" s="77" t="str">
        <f>IF('1.1 LinearView'!L21="","",('1.0 Sample_Prep'!$E$3))</f>
        <v/>
      </c>
    </row>
    <row r="36" spans="1:10">
      <c r="A36" s="77" t="str">
        <f>IF('1.1 LinearView'!D22=" ","",('1.1 LinearView'!D22))</f>
        <v/>
      </c>
      <c r="B36" s="77" t="str">
        <f t="shared" si="0"/>
        <v/>
      </c>
      <c r="C36" s="77" t="str">
        <f>IF('1.1 LinearView'!F22=" ","",('1.1 LinearView'!F22))</f>
        <v/>
      </c>
      <c r="D36" s="77" t="str">
        <f>IF('1.1 LinearView'!G22=" ","",('1.1 LinearView'!G22))</f>
        <v/>
      </c>
      <c r="E36" s="77" t="str">
        <f>IF('1.1 LinearView'!H22=" ","",('1.1 LinearView'!H22))</f>
        <v/>
      </c>
      <c r="F36" s="77" t="str">
        <f>IF('1.1 LinearView'!I22=" ","",('1.1 LinearView'!I22))</f>
        <v/>
      </c>
      <c r="G36" s="77" t="str">
        <f>IF('1.1 LinearView'!J22=" ","",('1.1 LinearView'!J22))</f>
        <v/>
      </c>
      <c r="H36" s="77" t="str">
        <f>IF('1.1 LinearView'!K22=" ","",('1.1 LinearView'!K22))</f>
        <v/>
      </c>
      <c r="I36" s="77" t="str">
        <f>IF('1.1 LinearView'!L22=" ","",('1.1 LinearView'!L22))</f>
        <v/>
      </c>
      <c r="J36" s="77" t="str">
        <f>IF('1.1 LinearView'!L22="","",('1.0 Sample_Prep'!$E$3))</f>
        <v/>
      </c>
    </row>
    <row r="37" spans="1:10">
      <c r="A37" s="77" t="str">
        <f>IF('1.1 LinearView'!D23=" ","",('1.1 LinearView'!D23))</f>
        <v/>
      </c>
      <c r="B37" s="77" t="str">
        <f t="shared" si="0"/>
        <v/>
      </c>
      <c r="C37" s="77" t="str">
        <f>IF('1.1 LinearView'!F23=" ","",('1.1 LinearView'!F23))</f>
        <v/>
      </c>
      <c r="D37" s="77" t="str">
        <f>IF('1.1 LinearView'!G23=" ","",('1.1 LinearView'!G23))</f>
        <v/>
      </c>
      <c r="E37" s="77" t="str">
        <f>IF('1.1 LinearView'!H23=" ","",('1.1 LinearView'!H23))</f>
        <v/>
      </c>
      <c r="F37" s="77" t="str">
        <f>IF('1.1 LinearView'!I23=" ","",('1.1 LinearView'!I23))</f>
        <v/>
      </c>
      <c r="G37" s="77" t="str">
        <f>IF('1.1 LinearView'!J23=" ","",('1.1 LinearView'!J23))</f>
        <v/>
      </c>
      <c r="H37" s="77" t="str">
        <f>IF('1.1 LinearView'!K23=" ","",('1.1 LinearView'!K23))</f>
        <v/>
      </c>
      <c r="I37" s="77" t="str">
        <f>IF('1.1 LinearView'!L23=" ","",('1.1 LinearView'!L23))</f>
        <v/>
      </c>
      <c r="J37" s="77" t="str">
        <f>IF('1.1 LinearView'!L23="","",('1.0 Sample_Prep'!$E$3))</f>
        <v/>
      </c>
    </row>
    <row r="38" spans="1:10">
      <c r="A38" s="77" t="str">
        <f>IF('1.1 LinearView'!D24=" ","",('1.1 LinearView'!D24))</f>
        <v/>
      </c>
      <c r="B38" s="77" t="str">
        <f t="shared" si="0"/>
        <v/>
      </c>
      <c r="C38" s="77" t="str">
        <f>IF('1.1 LinearView'!F24=" ","",('1.1 LinearView'!F24))</f>
        <v/>
      </c>
      <c r="D38" s="77" t="str">
        <f>IF('1.1 LinearView'!G24=" ","",('1.1 LinearView'!G24))</f>
        <v/>
      </c>
      <c r="E38" s="77" t="str">
        <f>IF('1.1 LinearView'!H24=" ","",('1.1 LinearView'!H24))</f>
        <v/>
      </c>
      <c r="F38" s="77" t="str">
        <f>IF('1.1 LinearView'!I24=" ","",('1.1 LinearView'!I24))</f>
        <v/>
      </c>
      <c r="G38" s="77" t="str">
        <f>IF('1.1 LinearView'!J24=" ","",('1.1 LinearView'!J24))</f>
        <v/>
      </c>
      <c r="H38" s="77" t="str">
        <f>IF('1.1 LinearView'!K24=" ","",('1.1 LinearView'!K24))</f>
        <v/>
      </c>
      <c r="I38" s="77" t="str">
        <f>IF('1.1 LinearView'!L24=" ","",('1.1 LinearView'!L24))</f>
        <v/>
      </c>
      <c r="J38" s="77" t="str">
        <f>IF('1.1 LinearView'!L24="","",('1.0 Sample_Prep'!$E$3))</f>
        <v/>
      </c>
    </row>
    <row r="39" spans="1:10">
      <c r="A39" s="77" t="str">
        <f>IF('1.1 LinearView'!D25=" ","",('1.1 LinearView'!D25))</f>
        <v/>
      </c>
      <c r="B39" s="77" t="str">
        <f t="shared" si="0"/>
        <v/>
      </c>
      <c r="C39" s="77" t="str">
        <f>IF('1.1 LinearView'!F25=" ","",('1.1 LinearView'!F25))</f>
        <v/>
      </c>
      <c r="D39" s="77" t="str">
        <f>IF('1.1 LinearView'!G25=" ","",('1.1 LinearView'!G25))</f>
        <v/>
      </c>
      <c r="E39" s="77" t="str">
        <f>IF('1.1 LinearView'!H25=" ","",('1.1 LinearView'!H25))</f>
        <v/>
      </c>
      <c r="F39" s="77" t="str">
        <f>IF('1.1 LinearView'!I25=" ","",('1.1 LinearView'!I25))</f>
        <v/>
      </c>
      <c r="G39" s="77" t="str">
        <f>IF('1.1 LinearView'!J25=" ","",('1.1 LinearView'!J25))</f>
        <v/>
      </c>
      <c r="H39" s="77" t="str">
        <f>IF('1.1 LinearView'!K25=" ","",('1.1 LinearView'!K25))</f>
        <v/>
      </c>
      <c r="I39" s="77" t="str">
        <f>IF('1.1 LinearView'!L25=" ","",('1.1 LinearView'!L25))</f>
        <v/>
      </c>
      <c r="J39" s="77" t="str">
        <f>IF('1.1 LinearView'!L25="","",('1.0 Sample_Prep'!$E$3))</f>
        <v/>
      </c>
    </row>
    <row r="40" spans="1:10">
      <c r="A40" s="77" t="str">
        <f>IF('1.1 LinearView'!D26=" ","",('1.1 LinearView'!D26))</f>
        <v/>
      </c>
      <c r="B40" s="77" t="str">
        <f t="shared" si="0"/>
        <v/>
      </c>
      <c r="C40" s="77" t="str">
        <f>IF('1.1 LinearView'!F26=" ","",('1.1 LinearView'!F26))</f>
        <v/>
      </c>
      <c r="D40" s="77" t="str">
        <f>IF('1.1 LinearView'!G26=" ","",('1.1 LinearView'!G26))</f>
        <v/>
      </c>
      <c r="E40" s="77" t="str">
        <f>IF('1.1 LinearView'!H26=" ","",('1.1 LinearView'!H26))</f>
        <v/>
      </c>
      <c r="F40" s="77" t="str">
        <f>IF('1.1 LinearView'!I26=" ","",('1.1 LinearView'!I26))</f>
        <v/>
      </c>
      <c r="G40" s="77" t="str">
        <f>IF('1.1 LinearView'!J26=" ","",('1.1 LinearView'!J26))</f>
        <v/>
      </c>
      <c r="H40" s="77" t="str">
        <f>IF('1.1 LinearView'!K26=" ","",('1.1 LinearView'!K26))</f>
        <v/>
      </c>
      <c r="I40" s="77" t="str">
        <f>IF('1.1 LinearView'!L26=" ","",('1.1 LinearView'!L26))</f>
        <v/>
      </c>
      <c r="J40" s="77" t="str">
        <f>IF('1.1 LinearView'!L26="","",('1.0 Sample_Prep'!$E$3))</f>
        <v/>
      </c>
    </row>
    <row r="41" spans="1:10">
      <c r="A41" s="77" t="str">
        <f>IF('1.1 LinearView'!D27=" ","",('1.1 LinearView'!D27))</f>
        <v/>
      </c>
      <c r="B41" s="77" t="str">
        <f t="shared" si="0"/>
        <v/>
      </c>
      <c r="C41" s="77" t="str">
        <f>IF('1.1 LinearView'!F27=" ","",('1.1 LinearView'!F27))</f>
        <v/>
      </c>
      <c r="D41" s="77" t="str">
        <f>IF('1.1 LinearView'!G27=" ","",('1.1 LinearView'!G27))</f>
        <v/>
      </c>
      <c r="E41" s="77" t="str">
        <f>IF('1.1 LinearView'!H27=" ","",('1.1 LinearView'!H27))</f>
        <v/>
      </c>
      <c r="F41" s="77" t="str">
        <f>IF('1.1 LinearView'!I27=" ","",('1.1 LinearView'!I27))</f>
        <v/>
      </c>
      <c r="G41" s="77" t="str">
        <f>IF('1.1 LinearView'!J27=" ","",('1.1 LinearView'!J27))</f>
        <v/>
      </c>
      <c r="H41" s="77" t="str">
        <f>IF('1.1 LinearView'!K27=" ","",('1.1 LinearView'!K27))</f>
        <v/>
      </c>
      <c r="I41" s="77" t="str">
        <f>IF('1.1 LinearView'!L27=" ","",('1.1 LinearView'!L27))</f>
        <v/>
      </c>
      <c r="J41" s="77" t="str">
        <f>IF('1.1 LinearView'!L27="","",('1.0 Sample_Prep'!$E$3))</f>
        <v/>
      </c>
    </row>
    <row r="42" spans="1:10">
      <c r="A42" s="77" t="str">
        <f>IF('1.1 LinearView'!D28=" ","",('1.1 LinearView'!D28))</f>
        <v/>
      </c>
      <c r="B42" s="77" t="str">
        <f t="shared" si="0"/>
        <v/>
      </c>
      <c r="C42" s="77" t="str">
        <f>IF('1.1 LinearView'!F28=" ","",('1.1 LinearView'!F28))</f>
        <v/>
      </c>
      <c r="D42" s="77" t="str">
        <f>IF('1.1 LinearView'!G28=" ","",('1.1 LinearView'!G28))</f>
        <v/>
      </c>
      <c r="E42" s="77" t="str">
        <f>IF('1.1 LinearView'!H28=" ","",('1.1 LinearView'!H28))</f>
        <v/>
      </c>
      <c r="F42" s="77" t="str">
        <f>IF('1.1 LinearView'!I28=" ","",('1.1 LinearView'!I28))</f>
        <v/>
      </c>
      <c r="G42" s="77" t="str">
        <f>IF('1.1 LinearView'!J28=" ","",('1.1 LinearView'!J28))</f>
        <v/>
      </c>
      <c r="H42" s="77" t="str">
        <f>IF('1.1 LinearView'!K28=" ","",('1.1 LinearView'!K28))</f>
        <v/>
      </c>
      <c r="I42" s="77" t="str">
        <f>IF('1.1 LinearView'!L28=" ","",('1.1 LinearView'!L28))</f>
        <v/>
      </c>
      <c r="J42" s="77" t="str">
        <f>IF('1.1 LinearView'!L28="","",('1.0 Sample_Prep'!$E$3))</f>
        <v/>
      </c>
    </row>
    <row r="43" spans="1:10">
      <c r="A43" s="77" t="str">
        <f>IF('1.1 LinearView'!D29=" ","",('1.1 LinearView'!D29))</f>
        <v/>
      </c>
      <c r="B43" s="77" t="str">
        <f t="shared" si="0"/>
        <v/>
      </c>
      <c r="C43" s="77" t="str">
        <f>IF('1.1 LinearView'!F29=" ","",('1.1 LinearView'!F29))</f>
        <v/>
      </c>
      <c r="D43" s="77" t="str">
        <f>IF('1.1 LinearView'!G29=" ","",('1.1 LinearView'!G29))</f>
        <v/>
      </c>
      <c r="E43" s="77" t="str">
        <f>IF('1.1 LinearView'!H29=" ","",('1.1 LinearView'!H29))</f>
        <v/>
      </c>
      <c r="F43" s="77" t="str">
        <f>IF('1.1 LinearView'!I29=" ","",('1.1 LinearView'!I29))</f>
        <v/>
      </c>
      <c r="G43" s="77" t="str">
        <f>IF('1.1 LinearView'!J29=" ","",('1.1 LinearView'!J29))</f>
        <v/>
      </c>
      <c r="H43" s="77" t="str">
        <f>IF('1.1 LinearView'!K29=" ","",('1.1 LinearView'!K29))</f>
        <v/>
      </c>
      <c r="I43" s="77" t="str">
        <f>IF('1.1 LinearView'!L29=" ","",('1.1 LinearView'!L29))</f>
        <v/>
      </c>
      <c r="J43" s="77" t="str">
        <f>IF('1.1 LinearView'!L29="","",('1.0 Sample_Prep'!$E$3))</f>
        <v/>
      </c>
    </row>
    <row r="44" spans="1:10">
      <c r="A44" s="77" t="str">
        <f>IF('1.1 LinearView'!D30=" ","",('1.1 LinearView'!D30))</f>
        <v/>
      </c>
      <c r="B44" s="77" t="str">
        <f t="shared" si="0"/>
        <v/>
      </c>
      <c r="C44" s="77" t="str">
        <f>IF('1.1 LinearView'!F30=" ","",('1.1 LinearView'!F30))</f>
        <v/>
      </c>
      <c r="D44" s="77" t="str">
        <f>IF('1.1 LinearView'!G30=" ","",('1.1 LinearView'!G30))</f>
        <v/>
      </c>
      <c r="E44" s="77" t="str">
        <f>IF('1.1 LinearView'!H30=" ","",('1.1 LinearView'!H30))</f>
        <v/>
      </c>
      <c r="F44" s="77" t="str">
        <f>IF('1.1 LinearView'!I30=" ","",('1.1 LinearView'!I30))</f>
        <v/>
      </c>
      <c r="G44" s="77" t="str">
        <f>IF('1.1 LinearView'!J30=" ","",('1.1 LinearView'!J30))</f>
        <v/>
      </c>
      <c r="H44" s="77" t="str">
        <f>IF('1.1 LinearView'!K30=" ","",('1.1 LinearView'!K30))</f>
        <v/>
      </c>
      <c r="I44" s="77" t="str">
        <f>IF('1.1 LinearView'!L30=" ","",('1.1 LinearView'!L30))</f>
        <v/>
      </c>
      <c r="J44" s="77" t="str">
        <f>IF('1.1 LinearView'!L30="","",('1.0 Sample_Prep'!$E$3))</f>
        <v/>
      </c>
    </row>
    <row r="45" spans="1:10">
      <c r="A45" s="77" t="str">
        <f>IF('1.1 LinearView'!D31=" ","",('1.1 LinearView'!D31))</f>
        <v/>
      </c>
      <c r="B45" s="77" t="str">
        <f t="shared" si="0"/>
        <v/>
      </c>
      <c r="C45" s="77" t="str">
        <f>IF('1.1 LinearView'!F31=" ","",('1.1 LinearView'!F31))</f>
        <v/>
      </c>
      <c r="D45" s="77" t="str">
        <f>IF('1.1 LinearView'!G31=" ","",('1.1 LinearView'!G31))</f>
        <v/>
      </c>
      <c r="E45" s="77" t="str">
        <f>IF('1.1 LinearView'!H31=" ","",('1.1 LinearView'!H31))</f>
        <v/>
      </c>
      <c r="F45" s="77" t="str">
        <f>IF('1.1 LinearView'!I31=" ","",('1.1 LinearView'!I31))</f>
        <v/>
      </c>
      <c r="G45" s="77" t="str">
        <f>IF('1.1 LinearView'!J31=" ","",('1.1 LinearView'!J31))</f>
        <v/>
      </c>
      <c r="H45" s="77" t="str">
        <f>IF('1.1 LinearView'!K31=" ","",('1.1 LinearView'!K31))</f>
        <v/>
      </c>
      <c r="I45" s="77" t="str">
        <f>IF('1.1 LinearView'!L31=" ","",('1.1 LinearView'!L31))</f>
        <v/>
      </c>
      <c r="J45" s="77" t="str">
        <f>IF('1.1 LinearView'!L31="","",('1.0 Sample_Prep'!$E$3))</f>
        <v/>
      </c>
    </row>
    <row r="46" spans="1:10">
      <c r="A46" s="77" t="str">
        <f>IF('1.1 LinearView'!D32=" ","",('1.1 LinearView'!D32))</f>
        <v/>
      </c>
      <c r="B46" s="77" t="str">
        <f t="shared" si="0"/>
        <v/>
      </c>
      <c r="C46" s="77" t="str">
        <f>IF('1.1 LinearView'!F32=" ","",('1.1 LinearView'!F32))</f>
        <v/>
      </c>
      <c r="D46" s="77" t="str">
        <f>IF('1.1 LinearView'!G32=" ","",('1.1 LinearView'!G32))</f>
        <v/>
      </c>
      <c r="E46" s="77" t="str">
        <f>IF('1.1 LinearView'!H32=" ","",('1.1 LinearView'!H32))</f>
        <v/>
      </c>
      <c r="F46" s="77" t="str">
        <f>IF('1.1 LinearView'!I32=" ","",('1.1 LinearView'!I32))</f>
        <v/>
      </c>
      <c r="G46" s="77" t="str">
        <f>IF('1.1 LinearView'!J32=" ","",('1.1 LinearView'!J32))</f>
        <v/>
      </c>
      <c r="H46" s="77" t="str">
        <f>IF('1.1 LinearView'!K32=" ","",('1.1 LinearView'!K32))</f>
        <v/>
      </c>
      <c r="I46" s="77" t="str">
        <f>IF('1.1 LinearView'!L32=" ","",('1.1 LinearView'!L32))</f>
        <v/>
      </c>
      <c r="J46" s="77" t="str">
        <f>IF('1.1 LinearView'!L32="","",('1.0 Sample_Prep'!$E$3))</f>
        <v/>
      </c>
    </row>
    <row r="47" spans="1:10">
      <c r="A47" s="77" t="str">
        <f>IF('1.1 LinearView'!D33=" ","",('1.1 LinearView'!D33))</f>
        <v/>
      </c>
      <c r="B47" s="77" t="str">
        <f t="shared" si="0"/>
        <v/>
      </c>
      <c r="C47" s="77" t="str">
        <f>IF('1.1 LinearView'!F33=" ","",('1.1 LinearView'!F33))</f>
        <v/>
      </c>
      <c r="D47" s="77" t="str">
        <f>IF('1.1 LinearView'!G33=" ","",('1.1 LinearView'!G33))</f>
        <v/>
      </c>
      <c r="E47" s="77" t="str">
        <f>IF('1.1 LinearView'!H33=" ","",('1.1 LinearView'!H33))</f>
        <v/>
      </c>
      <c r="F47" s="77" t="str">
        <f>IF('1.1 LinearView'!I33=" ","",('1.1 LinearView'!I33))</f>
        <v/>
      </c>
      <c r="G47" s="77" t="str">
        <f>IF('1.1 LinearView'!J33=" ","",('1.1 LinearView'!J33))</f>
        <v/>
      </c>
      <c r="H47" s="77" t="str">
        <f>IF('1.1 LinearView'!K33=" ","",('1.1 LinearView'!K33))</f>
        <v/>
      </c>
      <c r="I47" s="77" t="str">
        <f>IF('1.1 LinearView'!L33=" ","",('1.1 LinearView'!L33))</f>
        <v/>
      </c>
      <c r="J47" s="77" t="str">
        <f>IF('1.1 LinearView'!L33="","",('1.0 Sample_Prep'!$E$3))</f>
        <v/>
      </c>
    </row>
    <row r="48" spans="1:10">
      <c r="A48" s="77" t="str">
        <f>IF('1.1 LinearView'!D34=" ","",('1.1 LinearView'!D34))</f>
        <v/>
      </c>
      <c r="B48" s="77" t="str">
        <f t="shared" si="0"/>
        <v/>
      </c>
      <c r="C48" s="77" t="str">
        <f>IF('1.1 LinearView'!F34=" ","",('1.1 LinearView'!F34))</f>
        <v/>
      </c>
      <c r="D48" s="77" t="str">
        <f>IF('1.1 LinearView'!G34=" ","",('1.1 LinearView'!G34))</f>
        <v/>
      </c>
      <c r="E48" s="77" t="str">
        <f>IF('1.1 LinearView'!H34=" ","",('1.1 LinearView'!H34))</f>
        <v/>
      </c>
      <c r="F48" s="77" t="str">
        <f>IF('1.1 LinearView'!I34=" ","",('1.1 LinearView'!I34))</f>
        <v/>
      </c>
      <c r="G48" s="77" t="str">
        <f>IF('1.1 LinearView'!J34=" ","",('1.1 LinearView'!J34))</f>
        <v/>
      </c>
      <c r="H48" s="77" t="str">
        <f>IF('1.1 LinearView'!K34=" ","",('1.1 LinearView'!K34))</f>
        <v/>
      </c>
      <c r="I48" s="77" t="str">
        <f>IF('1.1 LinearView'!L34=" ","",('1.1 LinearView'!L34))</f>
        <v/>
      </c>
      <c r="J48" s="77" t="str">
        <f>IF('1.1 LinearView'!L34="","",('1.0 Sample_Prep'!$E$3))</f>
        <v/>
      </c>
    </row>
    <row r="49" spans="1:10">
      <c r="A49" s="77" t="str">
        <f>IF('1.1 LinearView'!D35=" ","",('1.1 LinearView'!D35))</f>
        <v/>
      </c>
      <c r="B49" s="77" t="str">
        <f t="shared" si="0"/>
        <v/>
      </c>
      <c r="C49" s="77" t="str">
        <f>IF('1.1 LinearView'!F35=" ","",('1.1 LinearView'!F35))</f>
        <v/>
      </c>
      <c r="D49" s="77" t="str">
        <f>IF('1.1 LinearView'!G35=" ","",('1.1 LinearView'!G35))</f>
        <v/>
      </c>
      <c r="E49" s="77" t="str">
        <f>IF('1.1 LinearView'!H35=" ","",('1.1 LinearView'!H35))</f>
        <v/>
      </c>
      <c r="F49" s="77" t="str">
        <f>IF('1.1 LinearView'!I35=" ","",('1.1 LinearView'!I35))</f>
        <v/>
      </c>
      <c r="G49" s="77" t="str">
        <f>IF('1.1 LinearView'!J35=" ","",('1.1 LinearView'!J35))</f>
        <v/>
      </c>
      <c r="H49" s="77" t="str">
        <f>IF('1.1 LinearView'!K35=" ","",('1.1 LinearView'!K35))</f>
        <v/>
      </c>
      <c r="I49" s="77" t="str">
        <f>IF('1.1 LinearView'!L35=" ","",('1.1 LinearView'!L35))</f>
        <v/>
      </c>
      <c r="J49" s="77" t="str">
        <f>IF('1.1 LinearView'!L35="","",('1.0 Sample_Prep'!$E$3))</f>
        <v/>
      </c>
    </row>
    <row r="50" spans="1:10">
      <c r="A50" s="77" t="str">
        <f>IF('1.1 LinearView'!D36=" ","",('1.1 LinearView'!D36))</f>
        <v/>
      </c>
      <c r="B50" s="77" t="str">
        <f t="shared" si="0"/>
        <v/>
      </c>
      <c r="C50" s="77" t="str">
        <f>IF('1.1 LinearView'!F36=" ","",('1.1 LinearView'!F36))</f>
        <v/>
      </c>
      <c r="D50" s="77" t="str">
        <f>IF('1.1 LinearView'!G36=" ","",('1.1 LinearView'!G36))</f>
        <v/>
      </c>
      <c r="E50" s="77" t="str">
        <f>IF('1.1 LinearView'!H36=" ","",('1.1 LinearView'!H36))</f>
        <v/>
      </c>
      <c r="F50" s="77" t="str">
        <f>IF('1.1 LinearView'!I36=" ","",('1.1 LinearView'!I36))</f>
        <v/>
      </c>
      <c r="G50" s="77" t="str">
        <f>IF('1.1 LinearView'!J36=" ","",('1.1 LinearView'!J36))</f>
        <v/>
      </c>
      <c r="H50" s="77" t="str">
        <f>IF('1.1 LinearView'!K36=" ","",('1.1 LinearView'!K36))</f>
        <v/>
      </c>
      <c r="I50" s="77" t="str">
        <f>IF('1.1 LinearView'!L36=" ","",('1.1 LinearView'!L36))</f>
        <v/>
      </c>
      <c r="J50" s="77" t="str">
        <f>IF('1.1 LinearView'!L36="","",('1.0 Sample_Prep'!$E$3))</f>
        <v/>
      </c>
    </row>
    <row r="51" spans="1:10">
      <c r="A51" s="77" t="str">
        <f>IF('1.1 LinearView'!D37=" ","",('1.1 LinearView'!D37))</f>
        <v/>
      </c>
      <c r="B51" s="77" t="str">
        <f t="shared" si="0"/>
        <v/>
      </c>
      <c r="C51" s="77" t="str">
        <f>IF('1.1 LinearView'!F37=" ","",('1.1 LinearView'!F37))</f>
        <v/>
      </c>
      <c r="D51" s="77" t="str">
        <f>IF('1.1 LinearView'!G37=" ","",('1.1 LinearView'!G37))</f>
        <v/>
      </c>
      <c r="E51" s="77" t="str">
        <f>IF('1.1 LinearView'!H37=" ","",('1.1 LinearView'!H37))</f>
        <v/>
      </c>
      <c r="F51" s="77" t="str">
        <f>IF('1.1 LinearView'!I37=" ","",('1.1 LinearView'!I37))</f>
        <v/>
      </c>
      <c r="G51" s="77" t="str">
        <f>IF('1.1 LinearView'!J37=" ","",('1.1 LinearView'!J37))</f>
        <v/>
      </c>
      <c r="H51" s="77" t="str">
        <f>IF('1.1 LinearView'!K37=" ","",('1.1 LinearView'!K37))</f>
        <v/>
      </c>
      <c r="I51" s="77" t="str">
        <f>IF('1.1 LinearView'!L37=" ","",('1.1 LinearView'!L37))</f>
        <v/>
      </c>
      <c r="J51" s="77" t="str">
        <f>IF('1.1 LinearView'!L37="","",('1.0 Sample_Prep'!$E$3))</f>
        <v/>
      </c>
    </row>
    <row r="52" spans="1:10">
      <c r="A52" s="77" t="str">
        <f>IF('1.1 LinearView'!D38=" ","",('1.1 LinearView'!D38))</f>
        <v/>
      </c>
      <c r="B52" s="77" t="str">
        <f t="shared" si="0"/>
        <v/>
      </c>
      <c r="C52" s="77" t="str">
        <f>IF('1.1 LinearView'!F38=" ","",('1.1 LinearView'!F38))</f>
        <v/>
      </c>
      <c r="D52" s="77" t="str">
        <f>IF('1.1 LinearView'!G38=" ","",('1.1 LinearView'!G38))</f>
        <v/>
      </c>
      <c r="E52" s="77" t="str">
        <f>IF('1.1 LinearView'!H38=" ","",('1.1 LinearView'!H38))</f>
        <v/>
      </c>
      <c r="F52" s="77" t="str">
        <f>IF('1.1 LinearView'!I38=" ","",('1.1 LinearView'!I38))</f>
        <v/>
      </c>
      <c r="G52" s="77" t="str">
        <f>IF('1.1 LinearView'!J38=" ","",('1.1 LinearView'!J38))</f>
        <v/>
      </c>
      <c r="H52" s="77" t="str">
        <f>IF('1.1 LinearView'!K38=" ","",('1.1 LinearView'!K38))</f>
        <v/>
      </c>
      <c r="I52" s="77" t="str">
        <f>IF('1.1 LinearView'!L38=" ","",('1.1 LinearView'!L38))</f>
        <v/>
      </c>
      <c r="J52" s="77" t="str">
        <f>IF('1.1 LinearView'!L38="","",('1.0 Sample_Prep'!$E$3))</f>
        <v/>
      </c>
    </row>
    <row r="53" spans="1:10">
      <c r="A53" s="77" t="str">
        <f>IF('1.1 LinearView'!D39=" ","",('1.1 LinearView'!D39))</f>
        <v/>
      </c>
      <c r="B53" s="77" t="str">
        <f t="shared" si="0"/>
        <v/>
      </c>
      <c r="C53" s="77" t="str">
        <f>IF('1.1 LinearView'!F39=" ","",('1.1 LinearView'!F39))</f>
        <v/>
      </c>
      <c r="D53" s="77" t="str">
        <f>IF('1.1 LinearView'!G39=" ","",('1.1 LinearView'!G39))</f>
        <v/>
      </c>
      <c r="E53" s="77" t="str">
        <f>IF('1.1 LinearView'!H39=" ","",('1.1 LinearView'!H39))</f>
        <v/>
      </c>
      <c r="F53" s="77" t="str">
        <f>IF('1.1 LinearView'!I39=" ","",('1.1 LinearView'!I39))</f>
        <v/>
      </c>
      <c r="G53" s="77" t="str">
        <f>IF('1.1 LinearView'!J39=" ","",('1.1 LinearView'!J39))</f>
        <v/>
      </c>
      <c r="H53" s="77" t="str">
        <f>IF('1.1 LinearView'!K39=" ","",('1.1 LinearView'!K39))</f>
        <v/>
      </c>
      <c r="I53" s="77" t="str">
        <f>IF('1.1 LinearView'!L39=" ","",('1.1 LinearView'!L39))</f>
        <v/>
      </c>
      <c r="J53" s="77" t="str">
        <f>IF('1.1 LinearView'!L39="","",('1.0 Sample_Prep'!$E$3))</f>
        <v/>
      </c>
    </row>
    <row r="54" spans="1:10">
      <c r="A54" s="77" t="str">
        <f>IF('1.1 LinearView'!D40=" ","",('1.1 LinearView'!D40))</f>
        <v/>
      </c>
      <c r="B54" s="77" t="str">
        <f t="shared" si="0"/>
        <v/>
      </c>
      <c r="C54" s="77" t="str">
        <f>IF('1.1 LinearView'!F40=" ","",('1.1 LinearView'!F40))</f>
        <v/>
      </c>
      <c r="D54" s="77" t="str">
        <f>IF('1.1 LinearView'!G40=" ","",('1.1 LinearView'!G40))</f>
        <v/>
      </c>
      <c r="E54" s="77" t="str">
        <f>IF('1.1 LinearView'!H40=" ","",('1.1 LinearView'!H40))</f>
        <v/>
      </c>
      <c r="F54" s="77" t="str">
        <f>IF('1.1 LinearView'!I40=" ","",('1.1 LinearView'!I40))</f>
        <v/>
      </c>
      <c r="G54" s="77" t="str">
        <f>IF('1.1 LinearView'!J40=" ","",('1.1 LinearView'!J40))</f>
        <v/>
      </c>
      <c r="H54" s="77" t="str">
        <f>IF('1.1 LinearView'!K40=" ","",('1.1 LinearView'!K40))</f>
        <v/>
      </c>
      <c r="I54" s="77" t="str">
        <f>IF('1.1 LinearView'!L40=" ","",('1.1 LinearView'!L40))</f>
        <v/>
      </c>
      <c r="J54" s="77" t="str">
        <f>IF('1.1 LinearView'!L40="","",('1.0 Sample_Prep'!$E$3))</f>
        <v/>
      </c>
    </row>
    <row r="55" spans="1:10">
      <c r="A55" s="77" t="str">
        <f>IF('1.1 LinearView'!D41=" ","",('1.1 LinearView'!D41))</f>
        <v/>
      </c>
      <c r="B55" s="77" t="str">
        <f t="shared" si="0"/>
        <v/>
      </c>
      <c r="C55" s="77" t="str">
        <f>IF('1.1 LinearView'!F41=" ","",('1.1 LinearView'!F41))</f>
        <v/>
      </c>
      <c r="D55" s="77" t="str">
        <f>IF('1.1 LinearView'!G41=" ","",('1.1 LinearView'!G41))</f>
        <v/>
      </c>
      <c r="E55" s="77" t="str">
        <f>IF('1.1 LinearView'!H41=" ","",('1.1 LinearView'!H41))</f>
        <v/>
      </c>
      <c r="F55" s="77" t="str">
        <f>IF('1.1 LinearView'!I41=" ","",('1.1 LinearView'!I41))</f>
        <v/>
      </c>
      <c r="G55" s="77" t="str">
        <f>IF('1.1 LinearView'!J41=" ","",('1.1 LinearView'!J41))</f>
        <v/>
      </c>
      <c r="H55" s="77" t="str">
        <f>IF('1.1 LinearView'!K41=" ","",('1.1 LinearView'!K41))</f>
        <v/>
      </c>
      <c r="I55" s="77" t="str">
        <f>IF('1.1 LinearView'!L41=" ","",('1.1 LinearView'!L41))</f>
        <v/>
      </c>
      <c r="J55" s="77" t="str">
        <f>IF('1.1 LinearView'!L41="","",('1.0 Sample_Prep'!$E$3))</f>
        <v/>
      </c>
    </row>
    <row r="56" spans="1:10">
      <c r="A56" s="77" t="str">
        <f>IF('1.1 LinearView'!D42=" ","",('1.1 LinearView'!D42))</f>
        <v/>
      </c>
      <c r="B56" s="77" t="str">
        <f t="shared" si="0"/>
        <v/>
      </c>
      <c r="C56" s="77" t="str">
        <f>IF('1.1 LinearView'!F42=" ","",('1.1 LinearView'!F42))</f>
        <v/>
      </c>
      <c r="D56" s="77" t="str">
        <f>IF('1.1 LinearView'!G42=" ","",('1.1 LinearView'!G42))</f>
        <v/>
      </c>
      <c r="E56" s="77" t="str">
        <f>IF('1.1 LinearView'!H42=" ","",('1.1 LinearView'!H42))</f>
        <v/>
      </c>
      <c r="F56" s="77" t="str">
        <f>IF('1.1 LinearView'!I42=" ","",('1.1 LinearView'!I42))</f>
        <v/>
      </c>
      <c r="G56" s="77" t="str">
        <f>IF('1.1 LinearView'!J42=" ","",('1.1 LinearView'!J42))</f>
        <v/>
      </c>
      <c r="H56" s="77" t="str">
        <f>IF('1.1 LinearView'!K42=" ","",('1.1 LinearView'!K42))</f>
        <v/>
      </c>
      <c r="I56" s="77" t="str">
        <f>IF('1.1 LinearView'!L42=" ","",('1.1 LinearView'!L42))</f>
        <v/>
      </c>
      <c r="J56" s="77" t="str">
        <f>IF('1.1 LinearView'!L42="","",('1.0 Sample_Prep'!$E$3))</f>
        <v/>
      </c>
    </row>
    <row r="57" spans="1:10">
      <c r="A57" s="77" t="str">
        <f>IF('1.1 LinearView'!D43=" ","",('1.1 LinearView'!D43))</f>
        <v/>
      </c>
      <c r="B57" s="77" t="str">
        <f t="shared" si="0"/>
        <v/>
      </c>
      <c r="C57" s="77" t="str">
        <f>IF('1.1 LinearView'!F43=" ","",('1.1 LinearView'!F43))</f>
        <v/>
      </c>
      <c r="D57" s="77" t="str">
        <f>IF('1.1 LinearView'!G43=" ","",('1.1 LinearView'!G43))</f>
        <v/>
      </c>
      <c r="E57" s="77" t="str">
        <f>IF('1.1 LinearView'!H43=" ","",('1.1 LinearView'!H43))</f>
        <v/>
      </c>
      <c r="F57" s="77" t="str">
        <f>IF('1.1 LinearView'!I43=" ","",('1.1 LinearView'!I43))</f>
        <v/>
      </c>
      <c r="G57" s="77" t="str">
        <f>IF('1.1 LinearView'!J43=" ","",('1.1 LinearView'!J43))</f>
        <v/>
      </c>
      <c r="H57" s="77" t="str">
        <f>IF('1.1 LinearView'!K43=" ","",('1.1 LinearView'!K43))</f>
        <v/>
      </c>
      <c r="I57" s="77" t="str">
        <f>IF('1.1 LinearView'!L43=" ","",('1.1 LinearView'!L43))</f>
        <v/>
      </c>
      <c r="J57" s="77" t="str">
        <f>IF('1.1 LinearView'!L43="","",('1.0 Sample_Prep'!$E$3))</f>
        <v/>
      </c>
    </row>
    <row r="58" spans="1:10">
      <c r="A58" s="77" t="str">
        <f>IF('1.1 LinearView'!D44=" ","",('1.1 LinearView'!D44))</f>
        <v/>
      </c>
      <c r="B58" s="77" t="str">
        <f t="shared" si="0"/>
        <v/>
      </c>
      <c r="C58" s="77" t="str">
        <f>IF('1.1 LinearView'!F44=" ","",('1.1 LinearView'!F44))</f>
        <v/>
      </c>
      <c r="D58" s="77" t="str">
        <f>IF('1.1 LinearView'!G44=" ","",('1.1 LinearView'!G44))</f>
        <v/>
      </c>
      <c r="E58" s="77" t="str">
        <f>IF('1.1 LinearView'!H44=" ","",('1.1 LinearView'!H44))</f>
        <v/>
      </c>
      <c r="F58" s="77" t="str">
        <f>IF('1.1 LinearView'!I44=" ","",('1.1 LinearView'!I44))</f>
        <v/>
      </c>
      <c r="G58" s="77" t="str">
        <f>IF('1.1 LinearView'!J44=" ","",('1.1 LinearView'!J44))</f>
        <v/>
      </c>
      <c r="H58" s="77" t="str">
        <f>IF('1.1 LinearView'!K44=" ","",('1.1 LinearView'!K44))</f>
        <v/>
      </c>
      <c r="I58" s="77" t="str">
        <f>IF('1.1 LinearView'!L44=" ","",('1.1 LinearView'!L44))</f>
        <v/>
      </c>
      <c r="J58" s="77" t="str">
        <f>IF('1.1 LinearView'!L44="","",('1.0 Sample_Prep'!$E$3))</f>
        <v/>
      </c>
    </row>
    <row r="59" spans="1:10">
      <c r="A59" s="77" t="str">
        <f>IF('1.1 LinearView'!D45=" ","",('1.1 LinearView'!D45))</f>
        <v/>
      </c>
      <c r="B59" s="77" t="str">
        <f t="shared" si="0"/>
        <v/>
      </c>
      <c r="C59" s="77" t="str">
        <f>IF('1.1 LinearView'!F45=" ","",('1.1 LinearView'!F45))</f>
        <v/>
      </c>
      <c r="D59" s="77" t="str">
        <f>IF('1.1 LinearView'!G45=" ","",('1.1 LinearView'!G45))</f>
        <v/>
      </c>
      <c r="E59" s="77" t="str">
        <f>IF('1.1 LinearView'!H45=" ","",('1.1 LinearView'!H45))</f>
        <v/>
      </c>
      <c r="F59" s="77" t="str">
        <f>IF('1.1 LinearView'!I45=" ","",('1.1 LinearView'!I45))</f>
        <v/>
      </c>
      <c r="G59" s="77" t="str">
        <f>IF('1.1 LinearView'!J45=" ","",('1.1 LinearView'!J45))</f>
        <v/>
      </c>
      <c r="H59" s="77" t="str">
        <f>IF('1.1 LinearView'!K45=" ","",('1.1 LinearView'!K45))</f>
        <v/>
      </c>
      <c r="I59" s="77" t="str">
        <f>IF('1.1 LinearView'!L45=" ","",('1.1 LinearView'!L45))</f>
        <v/>
      </c>
      <c r="J59" s="77" t="str">
        <f>IF('1.1 LinearView'!L45="","",('1.0 Sample_Prep'!$E$3))</f>
        <v/>
      </c>
    </row>
    <row r="60" spans="1:10">
      <c r="A60" s="77" t="str">
        <f>IF('1.1 LinearView'!D46=" ","",('1.1 LinearView'!D46))</f>
        <v/>
      </c>
      <c r="B60" s="77" t="str">
        <f t="shared" si="0"/>
        <v/>
      </c>
      <c r="C60" s="77" t="str">
        <f>IF('1.1 LinearView'!F46=" ","",('1.1 LinearView'!F46))</f>
        <v/>
      </c>
      <c r="D60" s="77" t="str">
        <f>IF('1.1 LinearView'!G46=" ","",('1.1 LinearView'!G46))</f>
        <v/>
      </c>
      <c r="E60" s="77" t="str">
        <f>IF('1.1 LinearView'!H46=" ","",('1.1 LinearView'!H46))</f>
        <v/>
      </c>
      <c r="F60" s="77" t="str">
        <f>IF('1.1 LinearView'!I46=" ","",('1.1 LinearView'!I46))</f>
        <v/>
      </c>
      <c r="G60" s="77" t="str">
        <f>IF('1.1 LinearView'!J46=" ","",('1.1 LinearView'!J46))</f>
        <v/>
      </c>
      <c r="H60" s="77" t="str">
        <f>IF('1.1 LinearView'!K46=" ","",('1.1 LinearView'!K46))</f>
        <v/>
      </c>
      <c r="I60" s="77" t="str">
        <f>IF('1.1 LinearView'!L46=" ","",('1.1 LinearView'!L46))</f>
        <v/>
      </c>
      <c r="J60" s="77" t="str">
        <f>IF('1.1 LinearView'!L46="","",('1.0 Sample_Prep'!$E$3))</f>
        <v/>
      </c>
    </row>
    <row r="61" spans="1:10">
      <c r="A61" s="77" t="str">
        <f>IF('1.1 LinearView'!D47=" ","",('1.1 LinearView'!D47))</f>
        <v/>
      </c>
      <c r="B61" s="77" t="str">
        <f t="shared" si="0"/>
        <v/>
      </c>
      <c r="C61" s="77" t="str">
        <f>IF('1.1 LinearView'!F47=" ","",('1.1 LinearView'!F47))</f>
        <v/>
      </c>
      <c r="D61" s="77" t="str">
        <f>IF('1.1 LinearView'!G47=" ","",('1.1 LinearView'!G47))</f>
        <v/>
      </c>
      <c r="E61" s="77" t="str">
        <f>IF('1.1 LinearView'!H47=" ","",('1.1 LinearView'!H47))</f>
        <v/>
      </c>
      <c r="F61" s="77" t="str">
        <f>IF('1.1 LinearView'!I47=" ","",('1.1 LinearView'!I47))</f>
        <v/>
      </c>
      <c r="G61" s="77" t="str">
        <f>IF('1.1 LinearView'!J47=" ","",('1.1 LinearView'!J47))</f>
        <v/>
      </c>
      <c r="H61" s="77" t="str">
        <f>IF('1.1 LinearView'!K47=" ","",('1.1 LinearView'!K47))</f>
        <v/>
      </c>
      <c r="I61" s="77" t="str">
        <f>IF('1.1 LinearView'!L47=" ","",('1.1 LinearView'!L47))</f>
        <v/>
      </c>
      <c r="J61" s="77" t="str">
        <f>IF('1.1 LinearView'!L47="","",('1.0 Sample_Prep'!$E$3))</f>
        <v/>
      </c>
    </row>
    <row r="62" spans="1:10">
      <c r="A62" s="77" t="str">
        <f>IF('1.1 LinearView'!D48=" ","",('1.1 LinearView'!D48))</f>
        <v/>
      </c>
      <c r="B62" s="77" t="str">
        <f t="shared" si="0"/>
        <v/>
      </c>
      <c r="C62" s="77" t="str">
        <f>IF('1.1 LinearView'!F48=" ","",('1.1 LinearView'!F48))</f>
        <v/>
      </c>
      <c r="D62" s="77" t="str">
        <f>IF('1.1 LinearView'!G48=" ","",('1.1 LinearView'!G48))</f>
        <v/>
      </c>
      <c r="E62" s="77" t="str">
        <f>IF('1.1 LinearView'!H48=" ","",('1.1 LinearView'!H48))</f>
        <v/>
      </c>
      <c r="F62" s="77" t="str">
        <f>IF('1.1 LinearView'!I48=" ","",('1.1 LinearView'!I48))</f>
        <v/>
      </c>
      <c r="G62" s="77" t="str">
        <f>IF('1.1 LinearView'!J48=" ","",('1.1 LinearView'!J48))</f>
        <v/>
      </c>
      <c r="H62" s="77" t="str">
        <f>IF('1.1 LinearView'!K48=" ","",('1.1 LinearView'!K48))</f>
        <v/>
      </c>
      <c r="I62" s="77" t="str">
        <f>IF('1.1 LinearView'!L48=" ","",('1.1 LinearView'!L48))</f>
        <v/>
      </c>
      <c r="J62" s="77" t="str">
        <f>IF('1.1 LinearView'!L48="","",('1.0 Sample_Prep'!$E$3))</f>
        <v/>
      </c>
    </row>
    <row r="63" spans="1:10">
      <c r="A63" s="77" t="str">
        <f>IF('1.1 LinearView'!D49=" ","",('1.1 LinearView'!D49))</f>
        <v/>
      </c>
      <c r="B63" s="77" t="str">
        <f t="shared" si="0"/>
        <v/>
      </c>
      <c r="C63" s="77" t="str">
        <f>IF('1.1 LinearView'!F49=" ","",('1.1 LinearView'!F49))</f>
        <v/>
      </c>
      <c r="D63" s="77" t="str">
        <f>IF('1.1 LinearView'!G49=" ","",('1.1 LinearView'!G49))</f>
        <v/>
      </c>
      <c r="E63" s="77" t="str">
        <f>IF('1.1 LinearView'!H49=" ","",('1.1 LinearView'!H49))</f>
        <v/>
      </c>
      <c r="F63" s="77" t="str">
        <f>IF('1.1 LinearView'!I49=" ","",('1.1 LinearView'!I49))</f>
        <v/>
      </c>
      <c r="G63" s="77" t="str">
        <f>IF('1.1 LinearView'!J49=" ","",('1.1 LinearView'!J49))</f>
        <v/>
      </c>
      <c r="H63" s="77" t="str">
        <f>IF('1.1 LinearView'!K49=" ","",('1.1 LinearView'!K49))</f>
        <v/>
      </c>
      <c r="I63" s="77" t="str">
        <f>IF('1.1 LinearView'!L49=" ","",('1.1 LinearView'!L49))</f>
        <v/>
      </c>
      <c r="J63" s="77" t="str">
        <f>IF('1.1 LinearView'!L49="","",('1.0 Sample_Prep'!$E$3))</f>
        <v/>
      </c>
    </row>
    <row r="64" spans="1:10">
      <c r="A64" s="77" t="str">
        <f>IF('1.1 LinearView'!D50=" ","",('1.1 LinearView'!D50))</f>
        <v/>
      </c>
      <c r="B64" s="77" t="str">
        <f t="shared" si="0"/>
        <v/>
      </c>
      <c r="C64" s="77" t="str">
        <f>IF('1.1 LinearView'!F50=" ","",('1.1 LinearView'!F50))</f>
        <v/>
      </c>
      <c r="D64" s="77" t="str">
        <f>IF('1.1 LinearView'!G50=" ","",('1.1 LinearView'!G50))</f>
        <v/>
      </c>
      <c r="E64" s="77" t="str">
        <f>IF('1.1 LinearView'!H50=" ","",('1.1 LinearView'!H50))</f>
        <v/>
      </c>
      <c r="F64" s="77" t="str">
        <f>IF('1.1 LinearView'!I50=" ","",('1.1 LinearView'!I50))</f>
        <v/>
      </c>
      <c r="G64" s="77" t="str">
        <f>IF('1.1 LinearView'!J50=" ","",('1.1 LinearView'!J50))</f>
        <v/>
      </c>
      <c r="H64" s="77" t="str">
        <f>IF('1.1 LinearView'!K50=" ","",('1.1 LinearView'!K50))</f>
        <v/>
      </c>
      <c r="I64" s="77" t="str">
        <f>IF('1.1 LinearView'!L50=" ","",('1.1 LinearView'!L50))</f>
        <v/>
      </c>
      <c r="J64" s="77" t="str">
        <f>IF('1.1 LinearView'!L50="","",('1.0 Sample_Prep'!$E$3))</f>
        <v/>
      </c>
    </row>
    <row r="65" spans="1:10">
      <c r="A65" s="77" t="str">
        <f>IF('1.1 LinearView'!D51=" ","",('1.1 LinearView'!D51))</f>
        <v/>
      </c>
      <c r="B65" s="77" t="str">
        <f t="shared" si="0"/>
        <v/>
      </c>
      <c r="C65" s="77" t="str">
        <f>IF('1.1 LinearView'!F51=" ","",('1.1 LinearView'!F51))</f>
        <v/>
      </c>
      <c r="D65" s="77" t="str">
        <f>IF('1.1 LinearView'!G51=" ","",('1.1 LinearView'!G51))</f>
        <v/>
      </c>
      <c r="E65" s="77" t="str">
        <f>IF('1.1 LinearView'!H51=" ","",('1.1 LinearView'!H51))</f>
        <v/>
      </c>
      <c r="F65" s="77" t="str">
        <f>IF('1.1 LinearView'!I51=" ","",('1.1 LinearView'!I51))</f>
        <v/>
      </c>
      <c r="G65" s="77" t="str">
        <f>IF('1.1 LinearView'!J51=" ","",('1.1 LinearView'!J51))</f>
        <v/>
      </c>
      <c r="H65" s="77" t="str">
        <f>IF('1.1 LinearView'!K51=" ","",('1.1 LinearView'!K51))</f>
        <v/>
      </c>
      <c r="I65" s="77" t="str">
        <f>IF('1.1 LinearView'!L51=" ","",('1.1 LinearView'!L51))</f>
        <v/>
      </c>
      <c r="J65" s="77" t="str">
        <f>IF('1.1 LinearView'!L51="","",('1.0 Sample_Prep'!$E$3))</f>
        <v/>
      </c>
    </row>
    <row r="66" spans="1:10">
      <c r="A66" s="77" t="str">
        <f>IF('1.1 LinearView'!D52=" ","",('1.1 LinearView'!D52))</f>
        <v/>
      </c>
      <c r="B66" s="77" t="str">
        <f t="shared" si="0"/>
        <v/>
      </c>
      <c r="C66" s="77" t="str">
        <f>IF('1.1 LinearView'!F52=" ","",('1.1 LinearView'!F52))</f>
        <v/>
      </c>
      <c r="D66" s="77" t="str">
        <f>IF('1.1 LinearView'!G52=" ","",('1.1 LinearView'!G52))</f>
        <v/>
      </c>
      <c r="E66" s="77" t="str">
        <f>IF('1.1 LinearView'!H52=" ","",('1.1 LinearView'!H52))</f>
        <v/>
      </c>
      <c r="F66" s="77" t="str">
        <f>IF('1.1 LinearView'!I52=" ","",('1.1 LinearView'!I52))</f>
        <v/>
      </c>
      <c r="G66" s="77" t="str">
        <f>IF('1.1 LinearView'!J52=" ","",('1.1 LinearView'!J52))</f>
        <v/>
      </c>
      <c r="H66" s="77" t="str">
        <f>IF('1.1 LinearView'!K52=" ","",('1.1 LinearView'!K52))</f>
        <v/>
      </c>
      <c r="I66" s="77" t="str">
        <f>IF('1.1 LinearView'!L52=" ","",('1.1 LinearView'!L52))</f>
        <v/>
      </c>
      <c r="J66" s="77" t="str">
        <f>IF('1.1 LinearView'!L52="","",('1.0 Sample_Prep'!$E$3))</f>
        <v/>
      </c>
    </row>
    <row r="67" spans="1:10">
      <c r="A67" s="77" t="str">
        <f>IF('1.1 LinearView'!D53=" ","",('1.1 LinearView'!D53))</f>
        <v/>
      </c>
      <c r="B67" s="77" t="str">
        <f t="shared" si="0"/>
        <v/>
      </c>
      <c r="C67" s="77" t="str">
        <f>IF('1.1 LinearView'!F53=" ","",('1.1 LinearView'!F53))</f>
        <v/>
      </c>
      <c r="D67" s="77" t="str">
        <f>IF('1.1 LinearView'!G53=" ","",('1.1 LinearView'!G53))</f>
        <v/>
      </c>
      <c r="E67" s="77" t="str">
        <f>IF('1.1 LinearView'!H53=" ","",('1.1 LinearView'!H53))</f>
        <v/>
      </c>
      <c r="F67" s="77" t="str">
        <f>IF('1.1 LinearView'!I53=" ","",('1.1 LinearView'!I53))</f>
        <v/>
      </c>
      <c r="G67" s="77" t="str">
        <f>IF('1.1 LinearView'!J53=" ","",('1.1 LinearView'!J53))</f>
        <v/>
      </c>
      <c r="H67" s="77" t="str">
        <f>IF('1.1 LinearView'!K53=" ","",('1.1 LinearView'!K53))</f>
        <v/>
      </c>
      <c r="I67" s="77" t="str">
        <f>IF('1.1 LinearView'!L53=" ","",('1.1 LinearView'!L53))</f>
        <v/>
      </c>
      <c r="J67" s="77" t="str">
        <f>IF('1.1 LinearView'!L53="","",('1.0 Sample_Prep'!$E$3))</f>
        <v/>
      </c>
    </row>
    <row r="68" spans="1:10">
      <c r="A68" s="77" t="str">
        <f>IF('1.1 LinearView'!D54=" ","",('1.1 LinearView'!D54))</f>
        <v/>
      </c>
      <c r="B68" s="77" t="str">
        <f t="shared" si="0"/>
        <v/>
      </c>
      <c r="C68" s="77" t="str">
        <f>IF('1.1 LinearView'!F54=" ","",('1.1 LinearView'!F54))</f>
        <v/>
      </c>
      <c r="D68" s="77" t="str">
        <f>IF('1.1 LinearView'!G54=" ","",('1.1 LinearView'!G54))</f>
        <v/>
      </c>
      <c r="E68" s="77" t="str">
        <f>IF('1.1 LinearView'!H54=" ","",('1.1 LinearView'!H54))</f>
        <v/>
      </c>
      <c r="F68" s="77" t="str">
        <f>IF('1.1 LinearView'!I54=" ","",('1.1 LinearView'!I54))</f>
        <v/>
      </c>
      <c r="G68" s="77" t="str">
        <f>IF('1.1 LinearView'!J54=" ","",('1.1 LinearView'!J54))</f>
        <v/>
      </c>
      <c r="H68" s="77" t="str">
        <f>IF('1.1 LinearView'!K54=" ","",('1.1 LinearView'!K54))</f>
        <v/>
      </c>
      <c r="I68" s="77" t="str">
        <f>IF('1.1 LinearView'!L54=" ","",('1.1 LinearView'!L54))</f>
        <v/>
      </c>
      <c r="J68" s="77" t="str">
        <f>IF('1.1 LinearView'!L54="","",('1.0 Sample_Prep'!$E$3))</f>
        <v/>
      </c>
    </row>
    <row r="69" spans="1:10">
      <c r="A69" s="77" t="str">
        <f>IF('1.1 LinearView'!D55=" ","",('1.1 LinearView'!D55))</f>
        <v/>
      </c>
      <c r="B69" s="77" t="str">
        <f t="shared" si="0"/>
        <v/>
      </c>
      <c r="C69" s="77" t="str">
        <f>IF('1.1 LinearView'!F55=" ","",('1.1 LinearView'!F55))</f>
        <v/>
      </c>
      <c r="D69" s="77" t="str">
        <f>IF('1.1 LinearView'!G55=" ","",('1.1 LinearView'!G55))</f>
        <v/>
      </c>
      <c r="E69" s="77" t="str">
        <f>IF('1.1 LinearView'!H55=" ","",('1.1 LinearView'!H55))</f>
        <v/>
      </c>
      <c r="F69" s="77" t="str">
        <f>IF('1.1 LinearView'!I55=" ","",('1.1 LinearView'!I55))</f>
        <v/>
      </c>
      <c r="G69" s="77" t="str">
        <f>IF('1.1 LinearView'!J55=" ","",('1.1 LinearView'!J55))</f>
        <v/>
      </c>
      <c r="H69" s="77" t="str">
        <f>IF('1.1 LinearView'!K55=" ","",('1.1 LinearView'!K55))</f>
        <v/>
      </c>
      <c r="I69" s="77" t="str">
        <f>IF('1.1 LinearView'!L55=" ","",('1.1 LinearView'!L55))</f>
        <v/>
      </c>
      <c r="J69" s="77" t="str">
        <f>IF('1.1 LinearView'!L55="","",('1.0 Sample_Prep'!$E$3))</f>
        <v/>
      </c>
    </row>
    <row r="70" spans="1:10">
      <c r="A70" s="77" t="str">
        <f>IF('1.1 LinearView'!D56=" ","",('1.1 LinearView'!D56))</f>
        <v/>
      </c>
      <c r="B70" s="77" t="str">
        <f t="shared" si="0"/>
        <v/>
      </c>
      <c r="C70" s="77" t="str">
        <f>IF('1.1 LinearView'!F56=" ","",('1.1 LinearView'!F56))</f>
        <v/>
      </c>
      <c r="D70" s="77" t="str">
        <f>IF('1.1 LinearView'!G56=" ","",('1.1 LinearView'!G56))</f>
        <v/>
      </c>
      <c r="E70" s="77" t="str">
        <f>IF('1.1 LinearView'!H56=" ","",('1.1 LinearView'!H56))</f>
        <v/>
      </c>
      <c r="F70" s="77" t="str">
        <f>IF('1.1 LinearView'!I56=" ","",('1.1 LinearView'!I56))</f>
        <v/>
      </c>
      <c r="G70" s="77" t="str">
        <f>IF('1.1 LinearView'!J56=" ","",('1.1 LinearView'!J56))</f>
        <v/>
      </c>
      <c r="H70" s="77" t="str">
        <f>IF('1.1 LinearView'!K56=" ","",('1.1 LinearView'!K56))</f>
        <v/>
      </c>
      <c r="I70" s="77" t="str">
        <f>IF('1.1 LinearView'!L56=" ","",('1.1 LinearView'!L56))</f>
        <v/>
      </c>
      <c r="J70" s="77" t="str">
        <f>IF('1.1 LinearView'!L56="","",('1.0 Sample_Prep'!$E$3))</f>
        <v/>
      </c>
    </row>
    <row r="71" spans="1:10">
      <c r="A71" s="77" t="str">
        <f>IF('1.1 LinearView'!D57=" ","",('1.1 LinearView'!D57))</f>
        <v/>
      </c>
      <c r="B71" s="77" t="str">
        <f t="shared" si="0"/>
        <v/>
      </c>
      <c r="C71" s="77" t="str">
        <f>IF('1.1 LinearView'!F57=" ","",('1.1 LinearView'!F57))</f>
        <v/>
      </c>
      <c r="D71" s="77" t="str">
        <f>IF('1.1 LinearView'!G57=" ","",('1.1 LinearView'!G57))</f>
        <v/>
      </c>
      <c r="E71" s="77" t="str">
        <f>IF('1.1 LinearView'!H57=" ","",('1.1 LinearView'!H57))</f>
        <v/>
      </c>
      <c r="F71" s="77" t="str">
        <f>IF('1.1 LinearView'!I57=" ","",('1.1 LinearView'!I57))</f>
        <v/>
      </c>
      <c r="G71" s="77" t="str">
        <f>IF('1.1 LinearView'!J57=" ","",('1.1 LinearView'!J57))</f>
        <v/>
      </c>
      <c r="H71" s="77" t="str">
        <f>IF('1.1 LinearView'!K57=" ","",('1.1 LinearView'!K57))</f>
        <v/>
      </c>
      <c r="I71" s="77" t="str">
        <f>IF('1.1 LinearView'!L57=" ","",('1.1 LinearView'!L57))</f>
        <v/>
      </c>
      <c r="J71" s="77" t="str">
        <f>IF('1.1 LinearView'!L57="","",('1.0 Sample_Prep'!$E$3))</f>
        <v/>
      </c>
    </row>
    <row r="72" spans="1:10">
      <c r="A72" s="77" t="str">
        <f>IF('1.1 LinearView'!D58=" ","",('1.1 LinearView'!D58))</f>
        <v/>
      </c>
      <c r="B72" s="77" t="str">
        <f t="shared" si="0"/>
        <v/>
      </c>
      <c r="C72" s="77" t="str">
        <f>IF('1.1 LinearView'!F58=" ","",('1.1 LinearView'!F58))</f>
        <v/>
      </c>
      <c r="D72" s="77" t="str">
        <f>IF('1.1 LinearView'!G58=" ","",('1.1 LinearView'!G58))</f>
        <v/>
      </c>
      <c r="E72" s="77" t="str">
        <f>IF('1.1 LinearView'!H58=" ","",('1.1 LinearView'!H58))</f>
        <v/>
      </c>
      <c r="F72" s="77" t="str">
        <f>IF('1.1 LinearView'!I58=" ","",('1.1 LinearView'!I58))</f>
        <v/>
      </c>
      <c r="G72" s="77" t="str">
        <f>IF('1.1 LinearView'!J58=" ","",('1.1 LinearView'!J58))</f>
        <v/>
      </c>
      <c r="H72" s="77" t="str">
        <f>IF('1.1 LinearView'!K58=" ","",('1.1 LinearView'!K58))</f>
        <v/>
      </c>
      <c r="I72" s="77" t="str">
        <f>IF('1.1 LinearView'!L58=" ","",('1.1 LinearView'!L58))</f>
        <v/>
      </c>
      <c r="J72" s="77" t="str">
        <f>IF('1.1 LinearView'!L58="","",('1.0 Sample_Prep'!$E$3))</f>
        <v/>
      </c>
    </row>
    <row r="73" spans="1:10">
      <c r="A73" s="77" t="str">
        <f>IF('1.1 LinearView'!D59=" ","",('1.1 LinearView'!D59))</f>
        <v/>
      </c>
      <c r="B73" s="77" t="str">
        <f t="shared" si="0"/>
        <v/>
      </c>
      <c r="C73" s="77" t="str">
        <f>IF('1.1 LinearView'!F59=" ","",('1.1 LinearView'!F59))</f>
        <v/>
      </c>
      <c r="D73" s="77" t="str">
        <f>IF('1.1 LinearView'!G59=" ","",('1.1 LinearView'!G59))</f>
        <v/>
      </c>
      <c r="E73" s="77" t="str">
        <f>IF('1.1 LinearView'!H59=" ","",('1.1 LinearView'!H59))</f>
        <v/>
      </c>
      <c r="F73" s="77" t="str">
        <f>IF('1.1 LinearView'!I59=" ","",('1.1 LinearView'!I59))</f>
        <v/>
      </c>
      <c r="G73" s="77" t="str">
        <f>IF('1.1 LinearView'!J59=" ","",('1.1 LinearView'!J59))</f>
        <v/>
      </c>
      <c r="H73" s="77" t="str">
        <f>IF('1.1 LinearView'!K59=" ","",('1.1 LinearView'!K59))</f>
        <v/>
      </c>
      <c r="I73" s="77" t="str">
        <f>IF('1.1 LinearView'!L59=" ","",('1.1 LinearView'!L59))</f>
        <v/>
      </c>
      <c r="J73" s="77" t="str">
        <f>IF('1.1 LinearView'!L59="","",('1.0 Sample_Prep'!$E$3))</f>
        <v/>
      </c>
    </row>
    <row r="74" spans="1:10">
      <c r="A74" s="77" t="str">
        <f>IF('1.1 LinearView'!D60=" ","",('1.1 LinearView'!D60))</f>
        <v/>
      </c>
      <c r="B74" s="77" t="str">
        <f t="shared" si="0"/>
        <v/>
      </c>
      <c r="C74" s="77" t="str">
        <f>IF('1.1 LinearView'!F60=" ","",('1.1 LinearView'!F60))</f>
        <v/>
      </c>
      <c r="D74" s="77" t="str">
        <f>IF('1.1 LinearView'!G60=" ","",('1.1 LinearView'!G60))</f>
        <v/>
      </c>
      <c r="E74" s="77" t="str">
        <f>IF('1.1 LinearView'!H60=" ","",('1.1 LinearView'!H60))</f>
        <v/>
      </c>
      <c r="F74" s="77" t="str">
        <f>IF('1.1 LinearView'!I60=" ","",('1.1 LinearView'!I60))</f>
        <v/>
      </c>
      <c r="G74" s="77" t="str">
        <f>IF('1.1 LinearView'!J60=" ","",('1.1 LinearView'!J60))</f>
        <v/>
      </c>
      <c r="H74" s="77" t="str">
        <f>IF('1.1 LinearView'!K60=" ","",('1.1 LinearView'!K60))</f>
        <v/>
      </c>
      <c r="I74" s="77" t="str">
        <f>IF('1.1 LinearView'!L60=" ","",('1.1 LinearView'!L60))</f>
        <v/>
      </c>
      <c r="J74" s="77" t="str">
        <f>IF('1.1 LinearView'!L60="","",('1.0 Sample_Prep'!$E$3))</f>
        <v/>
      </c>
    </row>
    <row r="75" spans="1:10">
      <c r="A75" s="77" t="str">
        <f>IF('1.1 LinearView'!D61=" ","",('1.1 LinearView'!D61))</f>
        <v/>
      </c>
      <c r="B75" s="77" t="str">
        <f t="shared" si="0"/>
        <v/>
      </c>
      <c r="C75" s="77" t="str">
        <f>IF('1.1 LinearView'!F61=" ","",('1.1 LinearView'!F61))</f>
        <v/>
      </c>
      <c r="D75" s="77" t="str">
        <f>IF('1.1 LinearView'!G61=" ","",('1.1 LinearView'!G61))</f>
        <v/>
      </c>
      <c r="E75" s="77" t="str">
        <f>IF('1.1 LinearView'!H61=" ","",('1.1 LinearView'!H61))</f>
        <v/>
      </c>
      <c r="F75" s="77" t="str">
        <f>IF('1.1 LinearView'!I61=" ","",('1.1 LinearView'!I61))</f>
        <v/>
      </c>
      <c r="G75" s="77" t="str">
        <f>IF('1.1 LinearView'!J61=" ","",('1.1 LinearView'!J61))</f>
        <v/>
      </c>
      <c r="H75" s="77" t="str">
        <f>IF('1.1 LinearView'!K61=" ","",('1.1 LinearView'!K61))</f>
        <v/>
      </c>
      <c r="I75" s="77" t="str">
        <f>IF('1.1 LinearView'!L61=" ","",('1.1 LinearView'!L61))</f>
        <v/>
      </c>
      <c r="J75" s="77" t="str">
        <f>IF('1.1 LinearView'!L61="","",('1.0 Sample_Prep'!$E$3))</f>
        <v/>
      </c>
    </row>
    <row r="76" spans="1:10">
      <c r="A76" s="77" t="str">
        <f>IF('1.1 LinearView'!D62=" ","",('1.1 LinearView'!D62))</f>
        <v/>
      </c>
      <c r="B76" s="77" t="str">
        <f t="shared" si="0"/>
        <v/>
      </c>
      <c r="C76" s="77" t="str">
        <f>IF('1.1 LinearView'!F62=" ","",('1.1 LinearView'!F62))</f>
        <v/>
      </c>
      <c r="D76" s="77" t="str">
        <f>IF('1.1 LinearView'!G62=" ","",('1.1 LinearView'!G62))</f>
        <v/>
      </c>
      <c r="E76" s="77" t="str">
        <f>IF('1.1 LinearView'!H62=" ","",('1.1 LinearView'!H62))</f>
        <v/>
      </c>
      <c r="F76" s="77" t="str">
        <f>IF('1.1 LinearView'!I62=" ","",('1.1 LinearView'!I62))</f>
        <v/>
      </c>
      <c r="G76" s="77" t="str">
        <f>IF('1.1 LinearView'!J62=" ","",('1.1 LinearView'!J62))</f>
        <v/>
      </c>
      <c r="H76" s="77" t="str">
        <f>IF('1.1 LinearView'!K62=" ","",('1.1 LinearView'!K62))</f>
        <v/>
      </c>
      <c r="I76" s="77" t="str">
        <f>IF('1.1 LinearView'!L62=" ","",('1.1 LinearView'!L62))</f>
        <v/>
      </c>
      <c r="J76" s="77" t="str">
        <f>IF('1.1 LinearView'!L62="","",('1.0 Sample_Prep'!$E$3))</f>
        <v/>
      </c>
    </row>
    <row r="77" spans="1:10">
      <c r="A77" s="77" t="str">
        <f>IF('1.1 LinearView'!D63=" ","",('1.1 LinearView'!D63))</f>
        <v/>
      </c>
      <c r="B77" s="77" t="str">
        <f t="shared" si="0"/>
        <v/>
      </c>
      <c r="C77" s="77" t="str">
        <f>IF('1.1 LinearView'!F63=" ","",('1.1 LinearView'!F63))</f>
        <v/>
      </c>
      <c r="D77" s="77" t="str">
        <f>IF('1.1 LinearView'!G63=" ","",('1.1 LinearView'!G63))</f>
        <v/>
      </c>
      <c r="E77" s="77" t="str">
        <f>IF('1.1 LinearView'!H63=" ","",('1.1 LinearView'!H63))</f>
        <v/>
      </c>
      <c r="F77" s="77" t="str">
        <f>IF('1.1 LinearView'!I63=" ","",('1.1 LinearView'!I63))</f>
        <v/>
      </c>
      <c r="G77" s="77" t="str">
        <f>IF('1.1 LinearView'!J63=" ","",('1.1 LinearView'!J63))</f>
        <v/>
      </c>
      <c r="H77" s="77" t="str">
        <f>IF('1.1 LinearView'!K63=" ","",('1.1 LinearView'!K63))</f>
        <v/>
      </c>
      <c r="I77" s="77" t="str">
        <f>IF('1.1 LinearView'!L63=" ","",('1.1 LinearView'!L63))</f>
        <v/>
      </c>
      <c r="J77" s="77" t="str">
        <f>IF('1.1 LinearView'!L63="","",('1.0 Sample_Prep'!$E$3))</f>
        <v/>
      </c>
    </row>
    <row r="78" spans="1:10">
      <c r="A78" s="77" t="str">
        <f>IF('1.1 LinearView'!D64=" ","",('1.1 LinearView'!D64))</f>
        <v/>
      </c>
      <c r="B78" s="77" t="str">
        <f t="shared" si="0"/>
        <v/>
      </c>
      <c r="C78" s="77" t="str">
        <f>IF('1.1 LinearView'!F64=" ","",('1.1 LinearView'!F64))</f>
        <v/>
      </c>
      <c r="D78" s="77" t="str">
        <f>IF('1.1 LinearView'!G64=" ","",('1.1 LinearView'!G64))</f>
        <v/>
      </c>
      <c r="E78" s="77" t="str">
        <f>IF('1.1 LinearView'!H64=" ","",('1.1 LinearView'!H64))</f>
        <v/>
      </c>
      <c r="F78" s="77" t="str">
        <f>IF('1.1 LinearView'!I64=" ","",('1.1 LinearView'!I64))</f>
        <v/>
      </c>
      <c r="G78" s="77" t="str">
        <f>IF('1.1 LinearView'!J64=" ","",('1.1 LinearView'!J64))</f>
        <v/>
      </c>
      <c r="H78" s="77" t="str">
        <f>IF('1.1 LinearView'!K64=" ","",('1.1 LinearView'!K64))</f>
        <v/>
      </c>
      <c r="I78" s="77" t="str">
        <f>IF('1.1 LinearView'!L64=" ","",('1.1 LinearView'!L64))</f>
        <v/>
      </c>
      <c r="J78" s="77" t="str">
        <f>IF('1.1 LinearView'!L64="","",('1.0 Sample_Prep'!$E$3))</f>
        <v/>
      </c>
    </row>
    <row r="79" spans="1:10">
      <c r="A79" s="77" t="str">
        <f>IF('1.1 LinearView'!D65=" ","",('1.1 LinearView'!D65))</f>
        <v/>
      </c>
      <c r="B79" s="77" t="str">
        <f t="shared" si="0"/>
        <v/>
      </c>
      <c r="C79" s="77" t="str">
        <f>IF('1.1 LinearView'!F65=" ","",('1.1 LinearView'!F65))</f>
        <v/>
      </c>
      <c r="D79" s="77" t="str">
        <f>IF('1.1 LinearView'!G65=" ","",('1.1 LinearView'!G65))</f>
        <v/>
      </c>
      <c r="E79" s="77" t="str">
        <f>IF('1.1 LinearView'!H65=" ","",('1.1 LinearView'!H65))</f>
        <v/>
      </c>
      <c r="F79" s="77" t="str">
        <f>IF('1.1 LinearView'!I65=" ","",('1.1 LinearView'!I65))</f>
        <v/>
      </c>
      <c r="G79" s="77" t="str">
        <f>IF('1.1 LinearView'!J65=" ","",('1.1 LinearView'!J65))</f>
        <v/>
      </c>
      <c r="H79" s="77" t="str">
        <f>IF('1.1 LinearView'!K65=" ","",('1.1 LinearView'!K65))</f>
        <v/>
      </c>
      <c r="I79" s="77" t="str">
        <f>IF('1.1 LinearView'!L65=" ","",('1.1 LinearView'!L65))</f>
        <v/>
      </c>
      <c r="J79" s="77" t="str">
        <f>IF('1.1 LinearView'!L65="","",('1.0 Sample_Prep'!$E$3))</f>
        <v/>
      </c>
    </row>
    <row r="80" spans="1:10">
      <c r="A80" s="77" t="str">
        <f>IF('1.1 LinearView'!D66=" ","",('1.1 LinearView'!D66))</f>
        <v/>
      </c>
      <c r="B80" s="77" t="str">
        <f t="shared" si="0"/>
        <v/>
      </c>
      <c r="C80" s="77" t="str">
        <f>IF('1.1 LinearView'!F66=" ","",('1.1 LinearView'!F66))</f>
        <v/>
      </c>
      <c r="D80" s="77" t="str">
        <f>IF('1.1 LinearView'!G66=" ","",('1.1 LinearView'!G66))</f>
        <v/>
      </c>
      <c r="E80" s="77" t="str">
        <f>IF('1.1 LinearView'!H66=" ","",('1.1 LinearView'!H66))</f>
        <v/>
      </c>
      <c r="F80" s="77" t="str">
        <f>IF('1.1 LinearView'!I66=" ","",('1.1 LinearView'!I66))</f>
        <v/>
      </c>
      <c r="G80" s="77" t="str">
        <f>IF('1.1 LinearView'!J66=" ","",('1.1 LinearView'!J66))</f>
        <v/>
      </c>
      <c r="H80" s="77" t="str">
        <f>IF('1.1 LinearView'!K66=" ","",('1.1 LinearView'!K66))</f>
        <v/>
      </c>
      <c r="I80" s="77" t="str">
        <f>IF('1.1 LinearView'!L66=" ","",('1.1 LinearView'!L66))</f>
        <v/>
      </c>
      <c r="J80" s="77" t="str">
        <f>IF('1.1 LinearView'!L66="","",('1.0 Sample_Prep'!$E$3))</f>
        <v/>
      </c>
    </row>
    <row r="81" spans="1:10">
      <c r="A81" s="77" t="str">
        <f>IF('1.1 LinearView'!D67=" ","",('1.1 LinearView'!D67))</f>
        <v/>
      </c>
      <c r="B81" s="77" t="str">
        <f t="shared" si="0"/>
        <v/>
      </c>
      <c r="C81" s="77" t="str">
        <f>IF('1.1 LinearView'!F67=" ","",('1.1 LinearView'!F67))</f>
        <v/>
      </c>
      <c r="D81" s="77" t="str">
        <f>IF('1.1 LinearView'!G67=" ","",('1.1 LinearView'!G67))</f>
        <v/>
      </c>
      <c r="E81" s="77" t="str">
        <f>IF('1.1 LinearView'!H67=" ","",('1.1 LinearView'!H67))</f>
        <v/>
      </c>
      <c r="F81" s="77" t="str">
        <f>IF('1.1 LinearView'!I67=" ","",('1.1 LinearView'!I67))</f>
        <v/>
      </c>
      <c r="G81" s="77" t="str">
        <f>IF('1.1 LinearView'!J67=" ","",('1.1 LinearView'!J67))</f>
        <v/>
      </c>
      <c r="H81" s="77" t="str">
        <f>IF('1.1 LinearView'!K67=" ","",('1.1 LinearView'!K67))</f>
        <v/>
      </c>
      <c r="I81" s="77" t="str">
        <f>IF('1.1 LinearView'!L67=" ","",('1.1 LinearView'!L67))</f>
        <v/>
      </c>
      <c r="J81" s="77" t="str">
        <f>IF('1.1 LinearView'!L67="","",('1.0 Sample_Prep'!$E$3))</f>
        <v/>
      </c>
    </row>
    <row r="82" spans="1:10">
      <c r="A82" s="77" t="str">
        <f>IF('1.1 LinearView'!D68=" ","",('1.1 LinearView'!D68))</f>
        <v/>
      </c>
      <c r="B82" s="77" t="str">
        <f t="shared" si="0"/>
        <v/>
      </c>
      <c r="C82" s="77" t="str">
        <f>IF('1.1 LinearView'!F68=" ","",('1.1 LinearView'!F68))</f>
        <v/>
      </c>
      <c r="D82" s="77" t="str">
        <f>IF('1.1 LinearView'!G68=" ","",('1.1 LinearView'!G68))</f>
        <v/>
      </c>
      <c r="E82" s="77" t="str">
        <f>IF('1.1 LinearView'!H68=" ","",('1.1 LinearView'!H68))</f>
        <v/>
      </c>
      <c r="F82" s="77" t="str">
        <f>IF('1.1 LinearView'!I68=" ","",('1.1 LinearView'!I68))</f>
        <v/>
      </c>
      <c r="G82" s="77" t="str">
        <f>IF('1.1 LinearView'!J68=" ","",('1.1 LinearView'!J68))</f>
        <v/>
      </c>
      <c r="H82" s="77" t="str">
        <f>IF('1.1 LinearView'!K68=" ","",('1.1 LinearView'!K68))</f>
        <v/>
      </c>
      <c r="I82" s="77" t="str">
        <f>IF('1.1 LinearView'!L68=" ","",('1.1 LinearView'!L68))</f>
        <v/>
      </c>
      <c r="J82" s="77" t="str">
        <f>IF('1.1 LinearView'!L68="","",('1.0 Sample_Prep'!$E$3))</f>
        <v/>
      </c>
    </row>
    <row r="83" spans="1:10">
      <c r="A83" s="77" t="str">
        <f>IF('1.1 LinearView'!D69=" ","",('1.1 LinearView'!D69))</f>
        <v/>
      </c>
      <c r="B83" s="77" t="str">
        <f t="shared" si="0"/>
        <v/>
      </c>
      <c r="C83" s="77" t="str">
        <f>IF('1.1 LinearView'!F69=" ","",('1.1 LinearView'!F69))</f>
        <v/>
      </c>
      <c r="D83" s="77" t="str">
        <f>IF('1.1 LinearView'!G69=" ","",('1.1 LinearView'!G69))</f>
        <v/>
      </c>
      <c r="E83" s="77" t="str">
        <f>IF('1.1 LinearView'!H69=" ","",('1.1 LinearView'!H69))</f>
        <v/>
      </c>
      <c r="F83" s="77" t="str">
        <f>IF('1.1 LinearView'!I69=" ","",('1.1 LinearView'!I69))</f>
        <v/>
      </c>
      <c r="G83" s="77" t="str">
        <f>IF('1.1 LinearView'!J69=" ","",('1.1 LinearView'!J69))</f>
        <v/>
      </c>
      <c r="H83" s="77" t="str">
        <f>IF('1.1 LinearView'!K69=" ","",('1.1 LinearView'!K69))</f>
        <v/>
      </c>
      <c r="I83" s="77" t="str">
        <f>IF('1.1 LinearView'!L69=" ","",('1.1 LinearView'!L69))</f>
        <v/>
      </c>
      <c r="J83" s="77" t="str">
        <f>IF('1.1 LinearView'!L69="","",('1.0 Sample_Prep'!$E$3))</f>
        <v/>
      </c>
    </row>
    <row r="84" spans="1:10">
      <c r="A84" s="77" t="str">
        <f>IF('1.1 LinearView'!D70=" ","",('1.1 LinearView'!D70))</f>
        <v/>
      </c>
      <c r="B84" s="77" t="str">
        <f t="shared" si="0"/>
        <v/>
      </c>
      <c r="C84" s="77" t="str">
        <f>IF('1.1 LinearView'!F70=" ","",('1.1 LinearView'!F70))</f>
        <v/>
      </c>
      <c r="D84" s="77" t="str">
        <f>IF('1.1 LinearView'!G70=" ","",('1.1 LinearView'!G70))</f>
        <v/>
      </c>
      <c r="E84" s="77" t="str">
        <f>IF('1.1 LinearView'!H70=" ","",('1.1 LinearView'!H70))</f>
        <v/>
      </c>
      <c r="F84" s="77" t="str">
        <f>IF('1.1 LinearView'!I70=" ","",('1.1 LinearView'!I70))</f>
        <v/>
      </c>
      <c r="G84" s="77" t="str">
        <f>IF('1.1 LinearView'!J70=" ","",('1.1 LinearView'!J70))</f>
        <v/>
      </c>
      <c r="H84" s="77" t="str">
        <f>IF('1.1 LinearView'!K70=" ","",('1.1 LinearView'!K70))</f>
        <v/>
      </c>
      <c r="I84" s="77" t="str">
        <f>IF('1.1 LinearView'!L70=" ","",('1.1 LinearView'!L70))</f>
        <v/>
      </c>
      <c r="J84" s="77" t="str">
        <f>IF('1.1 LinearView'!L70="","",('1.0 Sample_Prep'!$E$3))</f>
        <v/>
      </c>
    </row>
    <row r="85" spans="1:10">
      <c r="A85" s="77" t="str">
        <f>IF('1.1 LinearView'!D71=" ","",('1.1 LinearView'!D71))</f>
        <v/>
      </c>
      <c r="B85" s="77" t="str">
        <f t="shared" si="0"/>
        <v/>
      </c>
      <c r="C85" s="77" t="str">
        <f>IF('1.1 LinearView'!F71=" ","",('1.1 LinearView'!F71))</f>
        <v/>
      </c>
      <c r="D85" s="77" t="str">
        <f>IF('1.1 LinearView'!G71=" ","",('1.1 LinearView'!G71))</f>
        <v/>
      </c>
      <c r="E85" s="77" t="str">
        <f>IF('1.1 LinearView'!H71=" ","",('1.1 LinearView'!H71))</f>
        <v/>
      </c>
      <c r="F85" s="77" t="str">
        <f>IF('1.1 LinearView'!I71=" ","",('1.1 LinearView'!I71))</f>
        <v/>
      </c>
      <c r="G85" s="77" t="str">
        <f>IF('1.1 LinearView'!J71=" ","",('1.1 LinearView'!J71))</f>
        <v/>
      </c>
      <c r="H85" s="77" t="str">
        <f>IF('1.1 LinearView'!K71=" ","",('1.1 LinearView'!K71))</f>
        <v/>
      </c>
      <c r="I85" s="77" t="str">
        <f>IF('1.1 LinearView'!L71=" ","",('1.1 LinearView'!L71))</f>
        <v/>
      </c>
      <c r="J85" s="77" t="str">
        <f>IF('1.1 LinearView'!L71="","",('1.0 Sample_Prep'!$E$3))</f>
        <v/>
      </c>
    </row>
    <row r="86" spans="1:10">
      <c r="A86" s="77" t="str">
        <f>IF('1.1 LinearView'!D72=" ","",('1.1 LinearView'!D72))</f>
        <v/>
      </c>
      <c r="B86" s="77" t="str">
        <f t="shared" si="0"/>
        <v/>
      </c>
      <c r="C86" s="77" t="str">
        <f>IF('1.1 LinearView'!F72=" ","",('1.1 LinearView'!F72))</f>
        <v/>
      </c>
      <c r="D86" s="77" t="str">
        <f>IF('1.1 LinearView'!G72=" ","",('1.1 LinearView'!G72))</f>
        <v/>
      </c>
      <c r="E86" s="77" t="str">
        <f>IF('1.1 LinearView'!H72=" ","",('1.1 LinearView'!H72))</f>
        <v/>
      </c>
      <c r="F86" s="77" t="str">
        <f>IF('1.1 LinearView'!I72=" ","",('1.1 LinearView'!I72))</f>
        <v/>
      </c>
      <c r="G86" s="77" t="str">
        <f>IF('1.1 LinearView'!J72=" ","",('1.1 LinearView'!J72))</f>
        <v/>
      </c>
      <c r="H86" s="77" t="str">
        <f>IF('1.1 LinearView'!K72=" ","",('1.1 LinearView'!K72))</f>
        <v/>
      </c>
      <c r="I86" s="77" t="str">
        <f>IF('1.1 LinearView'!L72=" ","",('1.1 LinearView'!L72))</f>
        <v/>
      </c>
      <c r="J86" s="77" t="str">
        <f>IF('1.1 LinearView'!L72="","",('1.0 Sample_Prep'!$E$3))</f>
        <v/>
      </c>
    </row>
    <row r="87" spans="1:10">
      <c r="A87" s="77" t="str">
        <f>IF('1.1 LinearView'!D73=" ","",('1.1 LinearView'!D73))</f>
        <v/>
      </c>
      <c r="B87" s="77" t="str">
        <f t="shared" ref="B87:B117" si="1">IF(A87=" ","",(A87))</f>
        <v/>
      </c>
      <c r="C87" s="77" t="str">
        <f>IF('1.1 LinearView'!F73=" ","",('1.1 LinearView'!F73))</f>
        <v/>
      </c>
      <c r="D87" s="77" t="str">
        <f>IF('1.1 LinearView'!G73=" ","",('1.1 LinearView'!G73))</f>
        <v/>
      </c>
      <c r="E87" s="77" t="str">
        <f>IF('1.1 LinearView'!H73=" ","",('1.1 LinearView'!H73))</f>
        <v/>
      </c>
      <c r="F87" s="77" t="str">
        <f>IF('1.1 LinearView'!I73=" ","",('1.1 LinearView'!I73))</f>
        <v/>
      </c>
      <c r="G87" s="77" t="str">
        <f>IF('1.1 LinearView'!J73=" ","",('1.1 LinearView'!J73))</f>
        <v/>
      </c>
      <c r="H87" s="77" t="str">
        <f>IF('1.1 LinearView'!K73=" ","",('1.1 LinearView'!K73))</f>
        <v/>
      </c>
      <c r="I87" s="77" t="str">
        <f>IF('1.1 LinearView'!L73=" ","",('1.1 LinearView'!L73))</f>
        <v/>
      </c>
      <c r="J87" s="77" t="str">
        <f>IF('1.1 LinearView'!L73="","",('1.0 Sample_Prep'!$E$3))</f>
        <v/>
      </c>
    </row>
    <row r="88" spans="1:10">
      <c r="A88" s="77" t="str">
        <f>IF('1.1 LinearView'!D74=" ","",('1.1 LinearView'!D74))</f>
        <v/>
      </c>
      <c r="B88" s="77" t="str">
        <f t="shared" si="1"/>
        <v/>
      </c>
      <c r="C88" s="77" t="str">
        <f>IF('1.1 LinearView'!F74=" ","",('1.1 LinearView'!F74))</f>
        <v/>
      </c>
      <c r="D88" s="77" t="str">
        <f>IF('1.1 LinearView'!G74=" ","",('1.1 LinearView'!G74))</f>
        <v/>
      </c>
      <c r="E88" s="77" t="str">
        <f>IF('1.1 LinearView'!H74=" ","",('1.1 LinearView'!H74))</f>
        <v/>
      </c>
      <c r="F88" s="77" t="str">
        <f>IF('1.1 LinearView'!I74=" ","",('1.1 LinearView'!I74))</f>
        <v/>
      </c>
      <c r="G88" s="77" t="str">
        <f>IF('1.1 LinearView'!J74=" ","",('1.1 LinearView'!J74))</f>
        <v/>
      </c>
      <c r="H88" s="77" t="str">
        <f>IF('1.1 LinearView'!K74=" ","",('1.1 LinearView'!K74))</f>
        <v/>
      </c>
      <c r="I88" s="77" t="str">
        <f>IF('1.1 LinearView'!L74=" ","",('1.1 LinearView'!L74))</f>
        <v/>
      </c>
      <c r="J88" s="77" t="str">
        <f>IF('1.1 LinearView'!L74="","",('1.0 Sample_Prep'!$E$3))</f>
        <v/>
      </c>
    </row>
    <row r="89" spans="1:10">
      <c r="A89" s="77" t="str">
        <f>IF('1.1 LinearView'!D75=" ","",('1.1 LinearView'!D75))</f>
        <v/>
      </c>
      <c r="B89" s="77" t="str">
        <f t="shared" si="1"/>
        <v/>
      </c>
      <c r="C89" s="77" t="str">
        <f>IF('1.1 LinearView'!F75=" ","",('1.1 LinearView'!F75))</f>
        <v/>
      </c>
      <c r="D89" s="77" t="str">
        <f>IF('1.1 LinearView'!G75=" ","",('1.1 LinearView'!G75))</f>
        <v/>
      </c>
      <c r="E89" s="77" t="str">
        <f>IF('1.1 LinearView'!H75=" ","",('1.1 LinearView'!H75))</f>
        <v/>
      </c>
      <c r="F89" s="77" t="str">
        <f>IF('1.1 LinearView'!I75=" ","",('1.1 LinearView'!I75))</f>
        <v/>
      </c>
      <c r="G89" s="77" t="str">
        <f>IF('1.1 LinearView'!J75=" ","",('1.1 LinearView'!J75))</f>
        <v/>
      </c>
      <c r="H89" s="77" t="str">
        <f>IF('1.1 LinearView'!K75=" ","",('1.1 LinearView'!K75))</f>
        <v/>
      </c>
      <c r="I89" s="77" t="str">
        <f>IF('1.1 LinearView'!L75=" ","",('1.1 LinearView'!L75))</f>
        <v/>
      </c>
      <c r="J89" s="77" t="str">
        <f>IF('1.1 LinearView'!L75="","",('1.0 Sample_Prep'!$E$3))</f>
        <v/>
      </c>
    </row>
    <row r="90" spans="1:10">
      <c r="A90" s="77" t="str">
        <f>IF('1.1 LinearView'!D76=" ","",('1.1 LinearView'!D76))</f>
        <v/>
      </c>
      <c r="B90" s="77" t="str">
        <f t="shared" si="1"/>
        <v/>
      </c>
      <c r="C90" s="77" t="str">
        <f>IF('1.1 LinearView'!F76=" ","",('1.1 LinearView'!F76))</f>
        <v/>
      </c>
      <c r="D90" s="77" t="str">
        <f>IF('1.1 LinearView'!G76=" ","",('1.1 LinearView'!G76))</f>
        <v/>
      </c>
      <c r="E90" s="77" t="str">
        <f>IF('1.1 LinearView'!H76=" ","",('1.1 LinearView'!H76))</f>
        <v/>
      </c>
      <c r="F90" s="77" t="str">
        <f>IF('1.1 LinearView'!I76=" ","",('1.1 LinearView'!I76))</f>
        <v/>
      </c>
      <c r="G90" s="77" t="str">
        <f>IF('1.1 LinearView'!J76=" ","",('1.1 LinearView'!J76))</f>
        <v/>
      </c>
      <c r="H90" s="77" t="str">
        <f>IF('1.1 LinearView'!K76=" ","",('1.1 LinearView'!K76))</f>
        <v/>
      </c>
      <c r="I90" s="77" t="str">
        <f>IF('1.1 LinearView'!L76=" ","",('1.1 LinearView'!L76))</f>
        <v/>
      </c>
      <c r="J90" s="77" t="str">
        <f>IF('1.1 LinearView'!L76="","",('1.0 Sample_Prep'!$E$3))</f>
        <v/>
      </c>
    </row>
    <row r="91" spans="1:10">
      <c r="A91" s="77" t="str">
        <f>IF('1.1 LinearView'!D77=" ","",('1.1 LinearView'!D77))</f>
        <v/>
      </c>
      <c r="B91" s="77" t="str">
        <f t="shared" si="1"/>
        <v/>
      </c>
      <c r="C91" s="77" t="str">
        <f>IF('1.1 LinearView'!F77=" ","",('1.1 LinearView'!F77))</f>
        <v/>
      </c>
      <c r="D91" s="77" t="str">
        <f>IF('1.1 LinearView'!G77=" ","",('1.1 LinearView'!G77))</f>
        <v/>
      </c>
      <c r="E91" s="77" t="str">
        <f>IF('1.1 LinearView'!H77=" ","",('1.1 LinearView'!H77))</f>
        <v/>
      </c>
      <c r="F91" s="77" t="str">
        <f>IF('1.1 LinearView'!I77=" ","",('1.1 LinearView'!I77))</f>
        <v/>
      </c>
      <c r="G91" s="77" t="str">
        <f>IF('1.1 LinearView'!J77=" ","",('1.1 LinearView'!J77))</f>
        <v/>
      </c>
      <c r="H91" s="77" t="str">
        <f>IF('1.1 LinearView'!K77=" ","",('1.1 LinearView'!K77))</f>
        <v/>
      </c>
      <c r="I91" s="77" t="str">
        <f>IF('1.1 LinearView'!L77=" ","",('1.1 LinearView'!L77))</f>
        <v/>
      </c>
      <c r="J91" s="77" t="str">
        <f>IF('1.1 LinearView'!L77="","",('1.0 Sample_Prep'!$E$3))</f>
        <v/>
      </c>
    </row>
    <row r="92" spans="1:10">
      <c r="A92" s="77" t="str">
        <f>IF('1.1 LinearView'!D78=" ","",('1.1 LinearView'!D78))</f>
        <v/>
      </c>
      <c r="B92" s="77" t="str">
        <f t="shared" si="1"/>
        <v/>
      </c>
      <c r="C92" s="77" t="str">
        <f>IF('1.1 LinearView'!F78=" ","",('1.1 LinearView'!F78))</f>
        <v/>
      </c>
      <c r="D92" s="77" t="str">
        <f>IF('1.1 LinearView'!G78=" ","",('1.1 LinearView'!G78))</f>
        <v/>
      </c>
      <c r="E92" s="77" t="str">
        <f>IF('1.1 LinearView'!H78=" ","",('1.1 LinearView'!H78))</f>
        <v/>
      </c>
      <c r="F92" s="77" t="str">
        <f>IF('1.1 LinearView'!I78=" ","",('1.1 LinearView'!I78))</f>
        <v/>
      </c>
      <c r="G92" s="77" t="str">
        <f>IF('1.1 LinearView'!J78=" ","",('1.1 LinearView'!J78))</f>
        <v/>
      </c>
      <c r="H92" s="77" t="str">
        <f>IF('1.1 LinearView'!K78=" ","",('1.1 LinearView'!K78))</f>
        <v/>
      </c>
      <c r="I92" s="77" t="str">
        <f>IF('1.1 LinearView'!L78=" ","",('1.1 LinearView'!L78))</f>
        <v/>
      </c>
      <c r="J92" s="77" t="str">
        <f>IF('1.1 LinearView'!L78="","",('1.0 Sample_Prep'!$E$3))</f>
        <v/>
      </c>
    </row>
    <row r="93" spans="1:10">
      <c r="A93" s="77" t="str">
        <f>IF('1.1 LinearView'!D79=" ","",('1.1 LinearView'!D79))</f>
        <v/>
      </c>
      <c r="B93" s="77" t="str">
        <f t="shared" si="1"/>
        <v/>
      </c>
      <c r="C93" s="77" t="str">
        <f>IF('1.1 LinearView'!F79=" ","",('1.1 LinearView'!F79))</f>
        <v/>
      </c>
      <c r="D93" s="77" t="str">
        <f>IF('1.1 LinearView'!G79=" ","",('1.1 LinearView'!G79))</f>
        <v/>
      </c>
      <c r="E93" s="77" t="str">
        <f>IF('1.1 LinearView'!H79=" ","",('1.1 LinearView'!H79))</f>
        <v/>
      </c>
      <c r="F93" s="77" t="str">
        <f>IF('1.1 LinearView'!I79=" ","",('1.1 LinearView'!I79))</f>
        <v/>
      </c>
      <c r="G93" s="77" t="str">
        <f>IF('1.1 LinearView'!J79=" ","",('1.1 LinearView'!J79))</f>
        <v/>
      </c>
      <c r="H93" s="77" t="str">
        <f>IF('1.1 LinearView'!K79=" ","",('1.1 LinearView'!K79))</f>
        <v/>
      </c>
      <c r="I93" s="77" t="str">
        <f>IF('1.1 LinearView'!L79=" ","",('1.1 LinearView'!L79))</f>
        <v/>
      </c>
      <c r="J93" s="77" t="str">
        <f>IF('1.1 LinearView'!L79="","",('1.0 Sample_Prep'!$E$3))</f>
        <v/>
      </c>
    </row>
    <row r="94" spans="1:10">
      <c r="A94" s="77" t="str">
        <f>IF('1.1 LinearView'!D80=" ","",('1.1 LinearView'!D80))</f>
        <v/>
      </c>
      <c r="B94" s="77" t="str">
        <f t="shared" si="1"/>
        <v/>
      </c>
      <c r="C94" s="77" t="str">
        <f>IF('1.1 LinearView'!F80=" ","",('1.1 LinearView'!F80))</f>
        <v/>
      </c>
      <c r="D94" s="77" t="str">
        <f>IF('1.1 LinearView'!G80=" ","",('1.1 LinearView'!G80))</f>
        <v/>
      </c>
      <c r="E94" s="77" t="str">
        <f>IF('1.1 LinearView'!H80=" ","",('1.1 LinearView'!H80))</f>
        <v/>
      </c>
      <c r="F94" s="77" t="str">
        <f>IF('1.1 LinearView'!I80=" ","",('1.1 LinearView'!I80))</f>
        <v/>
      </c>
      <c r="G94" s="77" t="str">
        <f>IF('1.1 LinearView'!J80=" ","",('1.1 LinearView'!J80))</f>
        <v/>
      </c>
      <c r="H94" s="77" t="str">
        <f>IF('1.1 LinearView'!K80=" ","",('1.1 LinearView'!K80))</f>
        <v/>
      </c>
      <c r="I94" s="77" t="str">
        <f>IF('1.1 LinearView'!L80=" ","",('1.1 LinearView'!L80))</f>
        <v/>
      </c>
      <c r="J94" s="77" t="str">
        <f>IF('1.1 LinearView'!L80="","",('1.0 Sample_Prep'!$E$3))</f>
        <v/>
      </c>
    </row>
    <row r="95" spans="1:10">
      <c r="A95" s="77" t="str">
        <f>IF('1.1 LinearView'!D81=" ","",('1.1 LinearView'!D81))</f>
        <v/>
      </c>
      <c r="B95" s="77" t="str">
        <f t="shared" si="1"/>
        <v/>
      </c>
      <c r="C95" s="77" t="str">
        <f>IF('1.1 LinearView'!F81=" ","",('1.1 LinearView'!F81))</f>
        <v/>
      </c>
      <c r="D95" s="77" t="str">
        <f>IF('1.1 LinearView'!G81=" ","",('1.1 LinearView'!G81))</f>
        <v/>
      </c>
      <c r="E95" s="77" t="str">
        <f>IF('1.1 LinearView'!H81=" ","",('1.1 LinearView'!H81))</f>
        <v/>
      </c>
      <c r="F95" s="77" t="str">
        <f>IF('1.1 LinearView'!I81=" ","",('1.1 LinearView'!I81))</f>
        <v/>
      </c>
      <c r="G95" s="77" t="str">
        <f>IF('1.1 LinearView'!J81=" ","",('1.1 LinearView'!J81))</f>
        <v/>
      </c>
      <c r="H95" s="77" t="str">
        <f>IF('1.1 LinearView'!K81=" ","",('1.1 LinearView'!K81))</f>
        <v/>
      </c>
      <c r="I95" s="77" t="str">
        <f>IF('1.1 LinearView'!L81=" ","",('1.1 LinearView'!L81))</f>
        <v/>
      </c>
      <c r="J95" s="77" t="str">
        <f>IF('1.1 LinearView'!L81="","",('1.0 Sample_Prep'!$E$3))</f>
        <v/>
      </c>
    </row>
    <row r="96" spans="1:10">
      <c r="A96" s="77" t="str">
        <f>IF('1.1 LinearView'!D82=" ","",('1.1 LinearView'!D82))</f>
        <v/>
      </c>
      <c r="B96" s="77" t="str">
        <f t="shared" si="1"/>
        <v/>
      </c>
      <c r="C96" s="77" t="str">
        <f>IF('1.1 LinearView'!F82=" ","",('1.1 LinearView'!F82))</f>
        <v/>
      </c>
      <c r="D96" s="77" t="str">
        <f>IF('1.1 LinearView'!G82=" ","",('1.1 LinearView'!G82))</f>
        <v/>
      </c>
      <c r="E96" s="77" t="str">
        <f>IF('1.1 LinearView'!H82=" ","",('1.1 LinearView'!H82))</f>
        <v/>
      </c>
      <c r="F96" s="77" t="str">
        <f>IF('1.1 LinearView'!I82=" ","",('1.1 LinearView'!I82))</f>
        <v/>
      </c>
      <c r="G96" s="77" t="str">
        <f>IF('1.1 LinearView'!J82=" ","",('1.1 LinearView'!J82))</f>
        <v/>
      </c>
      <c r="H96" s="77" t="str">
        <f>IF('1.1 LinearView'!K82=" ","",('1.1 LinearView'!K82))</f>
        <v/>
      </c>
      <c r="I96" s="77" t="str">
        <f>IF('1.1 LinearView'!L82=" ","",('1.1 LinearView'!L82))</f>
        <v/>
      </c>
      <c r="J96" s="77" t="str">
        <f>IF('1.1 LinearView'!L82="","",('1.0 Sample_Prep'!$E$3))</f>
        <v/>
      </c>
    </row>
    <row r="97" spans="1:10">
      <c r="A97" s="77" t="str">
        <f>IF('1.1 LinearView'!D83=" ","",('1.1 LinearView'!D83))</f>
        <v/>
      </c>
      <c r="B97" s="77" t="str">
        <f t="shared" si="1"/>
        <v/>
      </c>
      <c r="C97" s="77" t="str">
        <f>IF('1.1 LinearView'!F83=" ","",('1.1 LinearView'!F83))</f>
        <v/>
      </c>
      <c r="D97" s="77" t="str">
        <f>IF('1.1 LinearView'!G83=" ","",('1.1 LinearView'!G83))</f>
        <v/>
      </c>
      <c r="E97" s="77" t="str">
        <f>IF('1.1 LinearView'!H83=" ","",('1.1 LinearView'!H83))</f>
        <v/>
      </c>
      <c r="F97" s="77" t="str">
        <f>IF('1.1 LinearView'!I83=" ","",('1.1 LinearView'!I83))</f>
        <v/>
      </c>
      <c r="G97" s="77" t="str">
        <f>IF('1.1 LinearView'!J83=" ","",('1.1 LinearView'!J83))</f>
        <v/>
      </c>
      <c r="H97" s="77" t="str">
        <f>IF('1.1 LinearView'!K83=" ","",('1.1 LinearView'!K83))</f>
        <v/>
      </c>
      <c r="I97" s="77" t="str">
        <f>IF('1.1 LinearView'!L83=" ","",('1.1 LinearView'!L83))</f>
        <v/>
      </c>
      <c r="J97" s="77" t="str">
        <f>IF('1.1 LinearView'!L83="","",('1.0 Sample_Prep'!$E$3))</f>
        <v/>
      </c>
    </row>
    <row r="98" spans="1:10">
      <c r="A98" s="77" t="str">
        <f>IF('1.1 LinearView'!D84=" ","",('1.1 LinearView'!D84))</f>
        <v/>
      </c>
      <c r="B98" s="77" t="str">
        <f t="shared" si="1"/>
        <v/>
      </c>
      <c r="C98" s="77" t="str">
        <f>IF('1.1 LinearView'!F84=" ","",('1.1 LinearView'!F84))</f>
        <v/>
      </c>
      <c r="D98" s="77" t="str">
        <f>IF('1.1 LinearView'!G84=" ","",('1.1 LinearView'!G84))</f>
        <v/>
      </c>
      <c r="E98" s="77" t="str">
        <f>IF('1.1 LinearView'!H84=" ","",('1.1 LinearView'!H84))</f>
        <v/>
      </c>
      <c r="F98" s="77" t="str">
        <f>IF('1.1 LinearView'!I84=" ","",('1.1 LinearView'!I84))</f>
        <v/>
      </c>
      <c r="G98" s="77" t="str">
        <f>IF('1.1 LinearView'!J84=" ","",('1.1 LinearView'!J84))</f>
        <v/>
      </c>
      <c r="H98" s="77" t="str">
        <f>IF('1.1 LinearView'!K84=" ","",('1.1 LinearView'!K84))</f>
        <v/>
      </c>
      <c r="I98" s="77" t="str">
        <f>IF('1.1 LinearView'!L84=" ","",('1.1 LinearView'!L84))</f>
        <v/>
      </c>
      <c r="J98" s="77" t="str">
        <f>IF('1.1 LinearView'!L84="","",('1.0 Sample_Prep'!$E$3))</f>
        <v/>
      </c>
    </row>
    <row r="99" spans="1:10">
      <c r="A99" s="77" t="str">
        <f>IF('1.1 LinearView'!D85=" ","",('1.1 LinearView'!D85))</f>
        <v/>
      </c>
      <c r="B99" s="77" t="str">
        <f t="shared" si="1"/>
        <v/>
      </c>
      <c r="C99" s="77" t="str">
        <f>IF('1.1 LinearView'!F85=" ","",('1.1 LinearView'!F85))</f>
        <v/>
      </c>
      <c r="D99" s="77" t="str">
        <f>IF('1.1 LinearView'!G85=" ","",('1.1 LinearView'!G85))</f>
        <v/>
      </c>
      <c r="E99" s="77" t="str">
        <f>IF('1.1 LinearView'!H85=" ","",('1.1 LinearView'!H85))</f>
        <v/>
      </c>
      <c r="F99" s="77" t="str">
        <f>IF('1.1 LinearView'!I85=" ","",('1.1 LinearView'!I85))</f>
        <v/>
      </c>
      <c r="G99" s="77" t="str">
        <f>IF('1.1 LinearView'!J85=" ","",('1.1 LinearView'!J85))</f>
        <v/>
      </c>
      <c r="H99" s="77" t="str">
        <f>IF('1.1 LinearView'!K85=" ","",('1.1 LinearView'!K85))</f>
        <v/>
      </c>
      <c r="I99" s="77" t="str">
        <f>IF('1.1 LinearView'!L85=" ","",('1.1 LinearView'!L85))</f>
        <v/>
      </c>
      <c r="J99" s="77" t="str">
        <f>IF('1.1 LinearView'!L85="","",('1.0 Sample_Prep'!$E$3))</f>
        <v/>
      </c>
    </row>
    <row r="100" spans="1:10">
      <c r="A100" s="77" t="str">
        <f>IF('1.1 LinearView'!D86=" ","",('1.1 LinearView'!D86))</f>
        <v/>
      </c>
      <c r="B100" s="77" t="str">
        <f t="shared" si="1"/>
        <v/>
      </c>
      <c r="C100" s="77" t="str">
        <f>IF('1.1 LinearView'!F86=" ","",('1.1 LinearView'!F86))</f>
        <v/>
      </c>
      <c r="D100" s="77" t="str">
        <f>IF('1.1 LinearView'!G86=" ","",('1.1 LinearView'!G86))</f>
        <v/>
      </c>
      <c r="E100" s="77" t="str">
        <f>IF('1.1 LinearView'!H86=" ","",('1.1 LinearView'!H86))</f>
        <v/>
      </c>
      <c r="F100" s="77" t="str">
        <f>IF('1.1 LinearView'!I86=" ","",('1.1 LinearView'!I86))</f>
        <v/>
      </c>
      <c r="G100" s="77" t="str">
        <f>IF('1.1 LinearView'!J86=" ","",('1.1 LinearView'!J86))</f>
        <v/>
      </c>
      <c r="H100" s="77" t="str">
        <f>IF('1.1 LinearView'!K86=" ","",('1.1 LinearView'!K86))</f>
        <v/>
      </c>
      <c r="I100" s="77" t="str">
        <f>IF('1.1 LinearView'!L86=" ","",('1.1 LinearView'!L86))</f>
        <v/>
      </c>
      <c r="J100" s="77" t="str">
        <f>IF('1.1 LinearView'!L86="","",('1.0 Sample_Prep'!$E$3))</f>
        <v/>
      </c>
    </row>
    <row r="101" spans="1:10">
      <c r="A101" s="77" t="str">
        <f>IF('1.1 LinearView'!D87=" ","",('1.1 LinearView'!D87))</f>
        <v/>
      </c>
      <c r="B101" s="77" t="str">
        <f t="shared" si="1"/>
        <v/>
      </c>
      <c r="C101" s="77" t="str">
        <f>IF('1.1 LinearView'!F87=" ","",('1.1 LinearView'!F87))</f>
        <v/>
      </c>
      <c r="D101" s="77" t="str">
        <f>IF('1.1 LinearView'!G87=" ","",('1.1 LinearView'!G87))</f>
        <v/>
      </c>
      <c r="E101" s="77" t="str">
        <f>IF('1.1 LinearView'!H87=" ","",('1.1 LinearView'!H87))</f>
        <v/>
      </c>
      <c r="F101" s="77" t="str">
        <f>IF('1.1 LinearView'!I87=" ","",('1.1 LinearView'!I87))</f>
        <v/>
      </c>
      <c r="G101" s="77" t="str">
        <f>IF('1.1 LinearView'!J87=" ","",('1.1 LinearView'!J87))</f>
        <v/>
      </c>
      <c r="H101" s="77" t="str">
        <f>IF('1.1 LinearView'!K87=" ","",('1.1 LinearView'!K87))</f>
        <v/>
      </c>
      <c r="I101" s="77" t="str">
        <f>IF('1.1 LinearView'!L87=" ","",('1.1 LinearView'!L87))</f>
        <v/>
      </c>
      <c r="J101" s="77" t="str">
        <f>IF('1.1 LinearView'!L87="","",('1.0 Sample_Prep'!$E$3))</f>
        <v/>
      </c>
    </row>
    <row r="102" spans="1:10">
      <c r="A102" s="77" t="str">
        <f>IF('1.1 LinearView'!D88=" ","",('1.1 LinearView'!D88))</f>
        <v/>
      </c>
      <c r="B102" s="77" t="str">
        <f t="shared" si="1"/>
        <v/>
      </c>
      <c r="C102" s="77" t="str">
        <f>IF('1.1 LinearView'!F88=" ","",('1.1 LinearView'!F88))</f>
        <v/>
      </c>
      <c r="D102" s="77" t="str">
        <f>IF('1.1 LinearView'!G88=" ","",('1.1 LinearView'!G88))</f>
        <v/>
      </c>
      <c r="E102" s="77" t="str">
        <f>IF('1.1 LinearView'!H88=" ","",('1.1 LinearView'!H88))</f>
        <v/>
      </c>
      <c r="F102" s="77" t="str">
        <f>IF('1.1 LinearView'!I88=" ","",('1.1 LinearView'!I88))</f>
        <v/>
      </c>
      <c r="G102" s="77" t="str">
        <f>IF('1.1 LinearView'!J88=" ","",('1.1 LinearView'!J88))</f>
        <v/>
      </c>
      <c r="H102" s="77" t="str">
        <f>IF('1.1 LinearView'!K88=" ","",('1.1 LinearView'!K88))</f>
        <v/>
      </c>
      <c r="I102" s="77" t="str">
        <f>IF('1.1 LinearView'!L88=" ","",('1.1 LinearView'!L88))</f>
        <v/>
      </c>
      <c r="J102" s="77" t="str">
        <f>IF('1.1 LinearView'!L88="","",('1.0 Sample_Prep'!$E$3))</f>
        <v/>
      </c>
    </row>
    <row r="103" spans="1:10">
      <c r="A103" s="77" t="str">
        <f>IF('1.1 LinearView'!D89=" ","",('1.1 LinearView'!D89))</f>
        <v/>
      </c>
      <c r="B103" s="77" t="str">
        <f t="shared" si="1"/>
        <v/>
      </c>
      <c r="C103" s="77" t="str">
        <f>IF('1.1 LinearView'!F89=" ","",('1.1 LinearView'!F89))</f>
        <v/>
      </c>
      <c r="D103" s="77" t="str">
        <f>IF('1.1 LinearView'!G89=" ","",('1.1 LinearView'!G89))</f>
        <v/>
      </c>
      <c r="E103" s="77" t="str">
        <f>IF('1.1 LinearView'!H89=" ","",('1.1 LinearView'!H89))</f>
        <v/>
      </c>
      <c r="F103" s="77" t="str">
        <f>IF('1.1 LinearView'!I89=" ","",('1.1 LinearView'!I89))</f>
        <v/>
      </c>
      <c r="G103" s="77" t="str">
        <f>IF('1.1 LinearView'!J89=" ","",('1.1 LinearView'!J89))</f>
        <v/>
      </c>
      <c r="H103" s="77" t="str">
        <f>IF('1.1 LinearView'!K89=" ","",('1.1 LinearView'!K89))</f>
        <v/>
      </c>
      <c r="I103" s="77" t="str">
        <f>IF('1.1 LinearView'!L89=" ","",('1.1 LinearView'!L89))</f>
        <v/>
      </c>
      <c r="J103" s="77" t="str">
        <f>IF('1.1 LinearView'!L89="","",('1.0 Sample_Prep'!$E$3))</f>
        <v/>
      </c>
    </row>
    <row r="104" spans="1:10">
      <c r="A104" s="77" t="str">
        <f>IF('1.1 LinearView'!D90=" ","",('1.1 LinearView'!D90))</f>
        <v/>
      </c>
      <c r="B104" s="77" t="str">
        <f t="shared" si="1"/>
        <v/>
      </c>
      <c r="C104" s="77" t="str">
        <f>IF('1.1 LinearView'!F90=" ","",('1.1 LinearView'!F90))</f>
        <v/>
      </c>
      <c r="D104" s="77" t="str">
        <f>IF('1.1 LinearView'!G90=" ","",('1.1 LinearView'!G90))</f>
        <v/>
      </c>
      <c r="E104" s="77" t="str">
        <f>IF('1.1 LinearView'!H90=" ","",('1.1 LinearView'!H90))</f>
        <v/>
      </c>
      <c r="F104" s="77" t="str">
        <f>IF('1.1 LinearView'!I90=" ","",('1.1 LinearView'!I90))</f>
        <v/>
      </c>
      <c r="G104" s="77" t="str">
        <f>IF('1.1 LinearView'!J90=" ","",('1.1 LinearView'!J90))</f>
        <v/>
      </c>
      <c r="H104" s="77" t="str">
        <f>IF('1.1 LinearView'!K90=" ","",('1.1 LinearView'!K90))</f>
        <v/>
      </c>
      <c r="I104" s="77" t="str">
        <f>IF('1.1 LinearView'!L90=" ","",('1.1 LinearView'!L90))</f>
        <v/>
      </c>
      <c r="J104" s="77" t="str">
        <f>IF('1.1 LinearView'!L90="","",('1.0 Sample_Prep'!$E$3))</f>
        <v/>
      </c>
    </row>
    <row r="105" spans="1:10">
      <c r="A105" s="77" t="str">
        <f>IF('1.1 LinearView'!D91=" ","",('1.1 LinearView'!D91))</f>
        <v/>
      </c>
      <c r="B105" s="77" t="str">
        <f t="shared" si="1"/>
        <v/>
      </c>
      <c r="C105" s="77" t="str">
        <f>IF('1.1 LinearView'!F91=" ","",('1.1 LinearView'!F91))</f>
        <v/>
      </c>
      <c r="D105" s="77" t="str">
        <f>IF('1.1 LinearView'!G91=" ","",('1.1 LinearView'!G91))</f>
        <v/>
      </c>
      <c r="E105" s="77" t="str">
        <f>IF('1.1 LinearView'!H91=" ","",('1.1 LinearView'!H91))</f>
        <v/>
      </c>
      <c r="F105" s="77" t="str">
        <f>IF('1.1 LinearView'!I91=" ","",('1.1 LinearView'!I91))</f>
        <v/>
      </c>
      <c r="G105" s="77" t="str">
        <f>IF('1.1 LinearView'!J91=" ","",('1.1 LinearView'!J91))</f>
        <v/>
      </c>
      <c r="H105" s="77" t="str">
        <f>IF('1.1 LinearView'!K91=" ","",('1.1 LinearView'!K91))</f>
        <v/>
      </c>
      <c r="I105" s="77" t="str">
        <f>IF('1.1 LinearView'!L91=" ","",('1.1 LinearView'!L91))</f>
        <v/>
      </c>
      <c r="J105" s="77" t="str">
        <f>IF('1.1 LinearView'!L91="","",('1.0 Sample_Prep'!$E$3))</f>
        <v/>
      </c>
    </row>
    <row r="106" spans="1:10">
      <c r="A106" s="77" t="str">
        <f>IF('1.1 LinearView'!D92=" ","",('1.1 LinearView'!D92))</f>
        <v/>
      </c>
      <c r="B106" s="77" t="str">
        <f t="shared" si="1"/>
        <v/>
      </c>
      <c r="C106" s="77" t="str">
        <f>IF('1.1 LinearView'!F92=" ","",('1.1 LinearView'!F92))</f>
        <v/>
      </c>
      <c r="D106" s="77" t="str">
        <f>IF('1.1 LinearView'!G92=" ","",('1.1 LinearView'!G92))</f>
        <v/>
      </c>
      <c r="E106" s="77" t="str">
        <f>IF('1.1 LinearView'!H92=" ","",('1.1 LinearView'!H92))</f>
        <v/>
      </c>
      <c r="F106" s="77" t="str">
        <f>IF('1.1 LinearView'!I92=" ","",('1.1 LinearView'!I92))</f>
        <v/>
      </c>
      <c r="G106" s="77" t="str">
        <f>IF('1.1 LinearView'!J92=" ","",('1.1 LinearView'!J92))</f>
        <v/>
      </c>
      <c r="H106" s="77" t="str">
        <f>IF('1.1 LinearView'!K92=" ","",('1.1 LinearView'!K92))</f>
        <v/>
      </c>
      <c r="I106" s="77" t="str">
        <f>IF('1.1 LinearView'!L92=" ","",('1.1 LinearView'!L92))</f>
        <v/>
      </c>
      <c r="J106" s="77" t="str">
        <f>IF('1.1 LinearView'!L92="","",('1.0 Sample_Prep'!$E$3))</f>
        <v/>
      </c>
    </row>
    <row r="107" spans="1:10">
      <c r="A107" s="77" t="str">
        <f>IF('1.1 LinearView'!D93=" ","",('1.1 LinearView'!D93))</f>
        <v/>
      </c>
      <c r="B107" s="77" t="str">
        <f t="shared" si="1"/>
        <v/>
      </c>
      <c r="C107" s="77" t="str">
        <f>IF('1.1 LinearView'!F93=" ","",('1.1 LinearView'!F93))</f>
        <v/>
      </c>
      <c r="D107" s="77" t="str">
        <f>IF('1.1 LinearView'!G93=" ","",('1.1 LinearView'!G93))</f>
        <v/>
      </c>
      <c r="E107" s="77" t="str">
        <f>IF('1.1 LinearView'!H93=" ","",('1.1 LinearView'!H93))</f>
        <v/>
      </c>
      <c r="F107" s="77" t="str">
        <f>IF('1.1 LinearView'!I93=" ","",('1.1 LinearView'!I93))</f>
        <v/>
      </c>
      <c r="G107" s="77" t="str">
        <f>IF('1.1 LinearView'!J93=" ","",('1.1 LinearView'!J93))</f>
        <v/>
      </c>
      <c r="H107" s="77" t="str">
        <f>IF('1.1 LinearView'!K93=" ","",('1.1 LinearView'!K93))</f>
        <v/>
      </c>
      <c r="I107" s="77" t="str">
        <f>IF('1.1 LinearView'!L93=" ","",('1.1 LinearView'!L93))</f>
        <v/>
      </c>
      <c r="J107" s="77" t="str">
        <f>IF('1.1 LinearView'!L93="","",('1.0 Sample_Prep'!$E$3))</f>
        <v/>
      </c>
    </row>
    <row r="108" spans="1:10">
      <c r="A108" s="77" t="str">
        <f>IF('1.1 LinearView'!D94=" ","",('1.1 LinearView'!D94))</f>
        <v/>
      </c>
      <c r="B108" s="77" t="str">
        <f t="shared" si="1"/>
        <v/>
      </c>
      <c r="C108" s="77" t="str">
        <f>IF('1.1 LinearView'!F94=" ","",('1.1 LinearView'!F94))</f>
        <v/>
      </c>
      <c r="D108" s="77" t="str">
        <f>IF('1.1 LinearView'!G94=" ","",('1.1 LinearView'!G94))</f>
        <v/>
      </c>
      <c r="E108" s="77" t="str">
        <f>IF('1.1 LinearView'!H94=" ","",('1.1 LinearView'!H94))</f>
        <v/>
      </c>
      <c r="F108" s="77" t="str">
        <f>IF('1.1 LinearView'!I94=" ","",('1.1 LinearView'!I94))</f>
        <v/>
      </c>
      <c r="G108" s="77" t="str">
        <f>IF('1.1 LinearView'!J94=" ","",('1.1 LinearView'!J94))</f>
        <v/>
      </c>
      <c r="H108" s="77" t="str">
        <f>IF('1.1 LinearView'!K94=" ","",('1.1 LinearView'!K94))</f>
        <v/>
      </c>
      <c r="I108" s="77" t="str">
        <f>IF('1.1 LinearView'!L94=" ","",('1.1 LinearView'!L94))</f>
        <v/>
      </c>
      <c r="J108" s="77" t="str">
        <f>IF('1.1 LinearView'!L94="","",('1.0 Sample_Prep'!$E$3))</f>
        <v/>
      </c>
    </row>
    <row r="109" spans="1:10">
      <c r="A109" s="77" t="str">
        <f>IF('1.1 LinearView'!D95=" ","",('1.1 LinearView'!D95))</f>
        <v/>
      </c>
      <c r="B109" s="77" t="str">
        <f t="shared" si="1"/>
        <v/>
      </c>
      <c r="C109" s="77" t="str">
        <f>IF('1.1 LinearView'!F95=" ","",('1.1 LinearView'!F95))</f>
        <v/>
      </c>
      <c r="D109" s="77" t="str">
        <f>IF('1.1 LinearView'!G95=" ","",('1.1 LinearView'!G95))</f>
        <v/>
      </c>
      <c r="E109" s="77" t="str">
        <f>IF('1.1 LinearView'!H95=" ","",('1.1 LinearView'!H95))</f>
        <v/>
      </c>
      <c r="F109" s="77" t="str">
        <f>IF('1.1 LinearView'!I95=" ","",('1.1 LinearView'!I95))</f>
        <v/>
      </c>
      <c r="G109" s="77" t="str">
        <f>IF('1.1 LinearView'!J95=" ","",('1.1 LinearView'!J95))</f>
        <v/>
      </c>
      <c r="H109" s="77" t="str">
        <f>IF('1.1 LinearView'!K95=" ","",('1.1 LinearView'!K95))</f>
        <v/>
      </c>
      <c r="I109" s="77" t="str">
        <f>IF('1.1 LinearView'!L95=" ","",('1.1 LinearView'!L95))</f>
        <v/>
      </c>
      <c r="J109" s="77" t="str">
        <f>IF('1.1 LinearView'!L95="","",('1.0 Sample_Prep'!$E$3))</f>
        <v/>
      </c>
    </row>
    <row r="110" spans="1:10">
      <c r="A110" s="77" t="str">
        <f>IF('1.1 LinearView'!D96=" ","",('1.1 LinearView'!D96))</f>
        <v/>
      </c>
      <c r="B110" s="77" t="str">
        <f t="shared" si="1"/>
        <v/>
      </c>
      <c r="C110" s="77" t="str">
        <f>IF('1.1 LinearView'!F96=" ","",('1.1 LinearView'!F96))</f>
        <v/>
      </c>
      <c r="D110" s="77" t="str">
        <f>IF('1.1 LinearView'!G96=" ","",('1.1 LinearView'!G96))</f>
        <v/>
      </c>
      <c r="E110" s="77" t="str">
        <f>IF('1.1 LinearView'!H96=" ","",('1.1 LinearView'!H96))</f>
        <v/>
      </c>
      <c r="F110" s="77" t="str">
        <f>IF('1.1 LinearView'!I96=" ","",('1.1 LinearView'!I96))</f>
        <v/>
      </c>
      <c r="G110" s="77" t="str">
        <f>IF('1.1 LinearView'!J96=" ","",('1.1 LinearView'!J96))</f>
        <v/>
      </c>
      <c r="H110" s="77" t="str">
        <f>IF('1.1 LinearView'!K96=" ","",('1.1 LinearView'!K96))</f>
        <v/>
      </c>
      <c r="I110" s="77" t="str">
        <f>IF('1.1 LinearView'!L96=" ","",('1.1 LinearView'!L96))</f>
        <v/>
      </c>
      <c r="J110" s="77" t="str">
        <f>IF('1.1 LinearView'!L96="","",('1.0 Sample_Prep'!$E$3))</f>
        <v/>
      </c>
    </row>
    <row r="111" spans="1:10">
      <c r="A111" s="77" t="str">
        <f>IF('1.1 LinearView'!D97=" ","",('1.1 LinearView'!D97))</f>
        <v/>
      </c>
      <c r="B111" s="77" t="str">
        <f t="shared" si="1"/>
        <v/>
      </c>
      <c r="C111" s="77" t="str">
        <f>IF('1.1 LinearView'!F97=" ","",('1.1 LinearView'!F97))</f>
        <v/>
      </c>
      <c r="D111" s="77" t="str">
        <f>IF('1.1 LinearView'!G97=" ","",('1.1 LinearView'!G97))</f>
        <v/>
      </c>
      <c r="E111" s="77" t="str">
        <f>IF('1.1 LinearView'!H97=" ","",('1.1 LinearView'!H97))</f>
        <v/>
      </c>
      <c r="F111" s="77" t="str">
        <f>IF('1.1 LinearView'!I97=" ","",('1.1 LinearView'!I97))</f>
        <v/>
      </c>
      <c r="G111" s="77" t="str">
        <f>IF('1.1 LinearView'!J97=" ","",('1.1 LinearView'!J97))</f>
        <v/>
      </c>
      <c r="H111" s="77" t="str">
        <f>IF('1.1 LinearView'!K97=" ","",('1.1 LinearView'!K97))</f>
        <v/>
      </c>
      <c r="I111" s="77" t="str">
        <f>IF('1.1 LinearView'!L97=" ","",('1.1 LinearView'!L97))</f>
        <v/>
      </c>
      <c r="J111" s="77" t="str">
        <f>IF('1.1 LinearView'!L97="","",('1.0 Sample_Prep'!$E$3))</f>
        <v/>
      </c>
    </row>
    <row r="112" spans="1:10">
      <c r="A112" s="77" t="str">
        <f>IF('1.1 LinearView'!D98=" ","",('1.1 LinearView'!D98))</f>
        <v/>
      </c>
      <c r="B112" s="77" t="str">
        <f t="shared" si="1"/>
        <v/>
      </c>
      <c r="C112" s="77" t="str">
        <f>IF('1.1 LinearView'!F98=" ","",('1.1 LinearView'!F98))</f>
        <v/>
      </c>
      <c r="D112" s="77" t="str">
        <f>IF('1.1 LinearView'!G98=" ","",('1.1 LinearView'!G98))</f>
        <v/>
      </c>
      <c r="E112" s="77" t="str">
        <f>IF('1.1 LinearView'!H98=" ","",('1.1 LinearView'!H98))</f>
        <v/>
      </c>
      <c r="F112" s="77" t="str">
        <f>IF('1.1 LinearView'!I98=" ","",('1.1 LinearView'!I98))</f>
        <v/>
      </c>
      <c r="G112" s="77" t="str">
        <f>IF('1.1 LinearView'!J98=" ","",('1.1 LinearView'!J98))</f>
        <v/>
      </c>
      <c r="H112" s="77" t="str">
        <f>IF('1.1 LinearView'!K98=" ","",('1.1 LinearView'!K98))</f>
        <v/>
      </c>
      <c r="I112" s="77" t="str">
        <f>IF('1.1 LinearView'!L98=" ","",('1.1 LinearView'!L98))</f>
        <v/>
      </c>
      <c r="J112" s="77" t="str">
        <f>IF('1.1 LinearView'!L98="","",('1.0 Sample_Prep'!$E$3))</f>
        <v/>
      </c>
    </row>
    <row r="113" spans="1:10">
      <c r="A113" s="77" t="str">
        <f>IF('1.1 LinearView'!D99=" ","",('1.1 LinearView'!D99))</f>
        <v/>
      </c>
      <c r="B113" s="77" t="str">
        <f t="shared" si="1"/>
        <v/>
      </c>
      <c r="C113" s="77" t="str">
        <f>IF('1.1 LinearView'!F99=" ","",('1.1 LinearView'!F99))</f>
        <v/>
      </c>
      <c r="D113" s="77" t="str">
        <f>IF('1.1 LinearView'!G99=" ","",('1.1 LinearView'!G99))</f>
        <v/>
      </c>
      <c r="E113" s="77" t="str">
        <f>IF('1.1 LinearView'!H99=" ","",('1.1 LinearView'!H99))</f>
        <v/>
      </c>
      <c r="F113" s="77" t="str">
        <f>IF('1.1 LinearView'!I99=" ","",('1.1 LinearView'!I99))</f>
        <v/>
      </c>
      <c r="G113" s="77" t="str">
        <f>IF('1.1 LinearView'!J99=" ","",('1.1 LinearView'!J99))</f>
        <v/>
      </c>
      <c r="H113" s="77" t="str">
        <f>IF('1.1 LinearView'!K99=" ","",('1.1 LinearView'!K99))</f>
        <v/>
      </c>
      <c r="I113" s="77" t="str">
        <f>IF('1.1 LinearView'!L99=" ","",('1.1 LinearView'!L99))</f>
        <v/>
      </c>
      <c r="J113" s="77" t="str">
        <f>IF('1.1 LinearView'!L99="","",('1.0 Sample_Prep'!$E$3))</f>
        <v/>
      </c>
    </row>
    <row r="114" spans="1:10">
      <c r="A114" s="77" t="str">
        <f>IF('1.1 LinearView'!D100=" ","",('1.1 LinearView'!D100))</f>
        <v/>
      </c>
      <c r="B114" s="77" t="str">
        <f t="shared" si="1"/>
        <v/>
      </c>
      <c r="C114" s="77" t="str">
        <f>IF('1.1 LinearView'!F100=" ","",('1.1 LinearView'!F100))</f>
        <v/>
      </c>
      <c r="D114" s="77" t="str">
        <f>IF('1.1 LinearView'!G100=" ","",('1.1 LinearView'!G100))</f>
        <v/>
      </c>
      <c r="E114" s="77" t="str">
        <f>IF('1.1 LinearView'!H100=" ","",('1.1 LinearView'!H100))</f>
        <v/>
      </c>
      <c r="F114" s="77" t="str">
        <f>IF('1.1 LinearView'!I100=" ","",('1.1 LinearView'!I100))</f>
        <v/>
      </c>
      <c r="G114" s="77" t="str">
        <f>IF('1.1 LinearView'!J100=" ","",('1.1 LinearView'!J100))</f>
        <v/>
      </c>
      <c r="H114" s="77" t="str">
        <f>IF('1.1 LinearView'!K100=" ","",('1.1 LinearView'!K100))</f>
        <v/>
      </c>
      <c r="I114" s="77" t="str">
        <f>IF('1.1 LinearView'!L100=" ","",('1.1 LinearView'!L100))</f>
        <v/>
      </c>
      <c r="J114" s="77" t="str">
        <f>IF('1.1 LinearView'!L100="","",('1.0 Sample_Prep'!$E$3))</f>
        <v/>
      </c>
    </row>
    <row r="115" spans="1:10">
      <c r="A115" s="77" t="str">
        <f>IF('1.1 LinearView'!D101=" ","",('1.1 LinearView'!D101))</f>
        <v/>
      </c>
      <c r="B115" s="77" t="str">
        <f t="shared" si="1"/>
        <v/>
      </c>
      <c r="C115" s="77" t="str">
        <f>IF('1.1 LinearView'!F101=" ","",('1.1 LinearView'!F101))</f>
        <v/>
      </c>
      <c r="D115" s="77" t="str">
        <f>IF('1.1 LinearView'!G101=" ","",('1.1 LinearView'!G101))</f>
        <v/>
      </c>
      <c r="E115" s="77" t="str">
        <f>IF('1.1 LinearView'!H101=" ","",('1.1 LinearView'!H101))</f>
        <v/>
      </c>
      <c r="F115" s="77" t="str">
        <f>IF('1.1 LinearView'!I101=" ","",('1.1 LinearView'!I101))</f>
        <v/>
      </c>
      <c r="G115" s="77" t="str">
        <f>IF('1.1 LinearView'!J101=" ","",('1.1 LinearView'!J101))</f>
        <v/>
      </c>
      <c r="H115" s="77" t="str">
        <f>IF('1.1 LinearView'!K101=" ","",('1.1 LinearView'!K101))</f>
        <v/>
      </c>
      <c r="I115" s="77" t="str">
        <f>IF('1.1 LinearView'!L101=" ","",('1.1 LinearView'!L101))</f>
        <v/>
      </c>
      <c r="J115" s="77" t="str">
        <f>IF('1.1 LinearView'!L101="","",('1.0 Sample_Prep'!$E$3))</f>
        <v/>
      </c>
    </row>
    <row r="116" spans="1:10">
      <c r="A116" s="77" t="str">
        <f>IF('1.1 LinearView'!D102=" ","",('1.1 LinearView'!D102))</f>
        <v/>
      </c>
      <c r="B116" s="77" t="str">
        <f t="shared" si="1"/>
        <v/>
      </c>
      <c r="C116" s="77" t="str">
        <f>IF('1.1 LinearView'!F102=" ","",('1.1 LinearView'!F102))</f>
        <v/>
      </c>
      <c r="D116" s="77" t="str">
        <f>IF('1.1 LinearView'!G102=" ","",('1.1 LinearView'!G102))</f>
        <v/>
      </c>
      <c r="E116" s="77" t="str">
        <f>IF('1.1 LinearView'!H102=" ","",('1.1 LinearView'!H102))</f>
        <v/>
      </c>
      <c r="F116" s="77" t="str">
        <f>IF('1.1 LinearView'!I102=" ","",('1.1 LinearView'!I102))</f>
        <v/>
      </c>
      <c r="G116" s="77" t="str">
        <f>IF('1.1 LinearView'!J102=" ","",('1.1 LinearView'!J102))</f>
        <v/>
      </c>
      <c r="H116" s="77" t="str">
        <f>IF('1.1 LinearView'!K102=" ","",('1.1 LinearView'!K102))</f>
        <v/>
      </c>
      <c r="I116" s="77" t="str">
        <f>IF('1.1 LinearView'!L102=" ","",('1.1 LinearView'!L102))</f>
        <v/>
      </c>
      <c r="J116" s="77" t="str">
        <f>IF('1.1 LinearView'!L102="","",('1.0 Sample_Prep'!$E$3))</f>
        <v/>
      </c>
    </row>
    <row r="117" spans="1:10">
      <c r="A117" s="77" t="str">
        <f>IF('1.1 LinearView'!D103=" ","",('1.1 LinearView'!D103))</f>
        <v/>
      </c>
      <c r="B117" s="77" t="str">
        <f t="shared" si="1"/>
        <v/>
      </c>
      <c r="C117" s="77" t="str">
        <f>IF('1.1 LinearView'!F103=" ","",('1.1 LinearView'!F103))</f>
        <v/>
      </c>
      <c r="D117" s="77" t="str">
        <f>IF('1.1 LinearView'!G103=" ","",('1.1 LinearView'!G103))</f>
        <v/>
      </c>
      <c r="E117" s="77" t="str">
        <f>IF('1.1 LinearView'!H103=" ","",('1.1 LinearView'!H103))</f>
        <v/>
      </c>
      <c r="F117" s="77" t="str">
        <f>IF('1.1 LinearView'!I103=" ","",('1.1 LinearView'!I103))</f>
        <v/>
      </c>
      <c r="G117" s="77" t="str">
        <f>IF('1.1 LinearView'!J103=" ","",('1.1 LinearView'!J103))</f>
        <v/>
      </c>
      <c r="H117" s="77" t="str">
        <f>IF('1.1 LinearView'!K103=" ","",('1.1 LinearView'!K103))</f>
        <v/>
      </c>
      <c r="I117" s="77" t="str">
        <f>IF('1.1 LinearView'!L103=" ","",('1.1 LinearView'!L103))</f>
        <v/>
      </c>
      <c r="J117" s="77" t="str">
        <f>IF('1.1 LinearView'!L103="","",('1.0 Sample_Prep'!$E$3))</f>
        <v/>
      </c>
    </row>
  </sheetData>
  <sheetProtection algorithmName="SHA-512" hashValue="6bzhbTos71U0Huz77xh7/mWhXhXBk7h+pSHmTEvhuo+FzGlFZeBSDXN2rXvrRvNA12i6UN3PvgTL1qYG7o3INg==" saltValue="N1Id9q9SpAbxWeQLo5hmUA==" spinCount="100000" sheet="1" objects="1" scenarios="1"/>
  <conditionalFormatting sqref="A1:XFD1048576">
    <cfRule type="containsText" dxfId="4" priority="2" operator="containsText" text="Select">
      <formula>NOT(ISERROR(SEARCH("Select",A1)))</formula>
    </cfRule>
    <cfRule type="containsText" dxfId="3" priority="3" operator="containsText" text="Enter">
      <formula>NOT(ISERROR(SEARCH("Enter",A1)))</formula>
    </cfRule>
  </conditionalFormatting>
  <pageMargins left="0.70866141732283472" right="0.70866141732283472" top="0.74803149606299213" bottom="0.74803149606299213" header="0.31496062992125984" footer="0.31496062992125984"/>
  <pageSetup paperSize="9" scale="52" fitToHeight="0" orientation="portrait" r:id="rId1"/>
  <headerFooter>
    <oddHeader>&amp;R&amp;G</oddHeader>
    <oddFooter>&amp;L&amp;8Version: 1.0&amp;C&amp;8&amp;P of &amp;N&amp;R&amp;8Revidováno: září 2023</oddFooter>
  </headerFooter>
  <rowBreaks count="1" manualBreakCount="1">
    <brk id="7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7A58-98AC-4927-8BEA-9969739F11AD}">
  <sheetPr codeName="Sheet8"/>
  <dimension ref="A1:O129"/>
  <sheetViews>
    <sheetView zoomScaleNormal="100" workbookViewId="0">
      <selection sqref="A1:L1"/>
    </sheetView>
  </sheetViews>
  <sheetFormatPr defaultColWidth="8.5546875" defaultRowHeight="14.4"/>
  <cols>
    <col min="1" max="2" width="2.5546875" style="4" customWidth="1"/>
    <col min="3" max="3" width="3.5546875" style="4" customWidth="1"/>
    <col min="4" max="4" width="3.77734375" style="4" customWidth="1"/>
    <col min="5" max="5" width="5.5546875" style="4" customWidth="1"/>
    <col min="6" max="6" width="15.21875" style="4" customWidth="1"/>
    <col min="7" max="7" width="28.44140625" style="4" bestFit="1" customWidth="1"/>
    <col min="8" max="8" width="17.5546875" style="4" customWidth="1"/>
    <col min="9" max="9" width="15.77734375" style="4" customWidth="1"/>
    <col min="10" max="10" width="13.44140625" style="4" customWidth="1"/>
    <col min="11" max="11" width="6.5546875" style="4" customWidth="1"/>
    <col min="12" max="12" width="26.5546875" style="4" customWidth="1"/>
    <col min="13" max="16384" width="8.5546875" style="4"/>
  </cols>
  <sheetData>
    <row r="1" spans="1:15" s="15" customFormat="1" ht="18">
      <c r="A1" s="198" t="s">
        <v>509</v>
      </c>
      <c r="B1" s="234"/>
      <c r="C1" s="234"/>
      <c r="D1" s="234"/>
      <c r="E1" s="234"/>
      <c r="F1" s="234"/>
      <c r="G1" s="234"/>
      <c r="H1" s="234"/>
      <c r="I1" s="234"/>
      <c r="J1" s="234"/>
      <c r="K1" s="234"/>
      <c r="L1" s="234"/>
      <c r="M1"/>
      <c r="O1"/>
    </row>
    <row r="2" spans="1:15">
      <c r="C2" s="6"/>
      <c r="D2" s="7"/>
      <c r="E2" s="7"/>
      <c r="F2" s="7"/>
    </row>
    <row r="3" spans="1:15">
      <c r="B3" s="206" t="s">
        <v>360</v>
      </c>
      <c r="C3" s="207"/>
      <c r="D3" s="207"/>
      <c r="E3" s="207"/>
      <c r="F3" s="2" t="str">
        <f>'1.0 Sample_Prep'!E3</f>
        <v>Zadejte</v>
      </c>
    </row>
    <row r="4" spans="1:15">
      <c r="B4" s="228" t="s">
        <v>369</v>
      </c>
      <c r="C4" s="229"/>
      <c r="D4" s="229"/>
      <c r="E4" s="230"/>
      <c r="F4" s="82"/>
    </row>
    <row r="5" spans="1:15">
      <c r="A5" s="5"/>
      <c r="B5" s="231" t="s">
        <v>370</v>
      </c>
      <c r="C5" s="232"/>
      <c r="D5" s="232"/>
      <c r="E5" s="233"/>
      <c r="F5" s="82"/>
    </row>
    <row r="6" spans="1:15">
      <c r="A6" s="5"/>
      <c r="B6" s="67" t="s">
        <v>510</v>
      </c>
      <c r="C6" s="68"/>
      <c r="D6" s="68"/>
      <c r="E6" s="68"/>
      <c r="F6" s="82"/>
    </row>
    <row r="7" spans="1:15">
      <c r="C7" s="6"/>
      <c r="D7" s="7"/>
      <c r="E7" s="7"/>
      <c r="F7" s="7"/>
    </row>
    <row r="8" spans="1:15" ht="18">
      <c r="A8" s="201" t="s">
        <v>511</v>
      </c>
      <c r="B8" s="235"/>
      <c r="C8" s="235"/>
      <c r="D8" s="235"/>
      <c r="E8" s="235"/>
      <c r="F8" s="235"/>
      <c r="G8" s="235"/>
      <c r="H8" s="235"/>
      <c r="I8" s="235"/>
      <c r="J8" s="235"/>
      <c r="K8" s="235"/>
      <c r="L8" s="235"/>
    </row>
    <row r="9" spans="1:15">
      <c r="C9" s="8"/>
    </row>
    <row r="10" spans="1:15">
      <c r="B10" s="71"/>
      <c r="C10" s="4">
        <v>1</v>
      </c>
      <c r="D10" s="16" t="s">
        <v>512</v>
      </c>
      <c r="E10" s="9"/>
    </row>
    <row r="11" spans="1:15" s="17" customFormat="1" ht="43.2">
      <c r="C11" s="18"/>
      <c r="E11" s="257" t="s">
        <v>513</v>
      </c>
      <c r="F11" s="256"/>
      <c r="G11" s="36" t="s">
        <v>514</v>
      </c>
      <c r="H11" s="37" t="s">
        <v>515</v>
      </c>
      <c r="I11" s="38" t="s">
        <v>516</v>
      </c>
      <c r="J11" s="38" t="s">
        <v>517</v>
      </c>
      <c r="K11" s="30">
        <f>'1.0 Sample_Prep'!E7</f>
        <v>0</v>
      </c>
      <c r="L11" s="38" t="s">
        <v>518</v>
      </c>
    </row>
    <row r="12" spans="1:15" ht="34.950000000000003" customHeight="1">
      <c r="B12" s="71"/>
      <c r="E12" s="241" t="s">
        <v>519</v>
      </c>
      <c r="F12" s="248"/>
      <c r="G12" s="83"/>
      <c r="H12" s="190" t="s">
        <v>520</v>
      </c>
      <c r="I12" s="69">
        <v>10</v>
      </c>
      <c r="J12" s="240">
        <f>$K$11*I12</f>
        <v>0</v>
      </c>
      <c r="K12" s="241"/>
      <c r="L12" s="19" t="s">
        <v>521</v>
      </c>
    </row>
    <row r="13" spans="1:15" ht="36.450000000000003" customHeight="1">
      <c r="B13" s="71"/>
      <c r="E13" s="241" t="s">
        <v>522</v>
      </c>
      <c r="F13" s="248"/>
      <c r="G13" s="83"/>
      <c r="H13" s="190" t="s">
        <v>523</v>
      </c>
      <c r="I13" s="69">
        <v>30</v>
      </c>
      <c r="J13" s="240">
        <f>$K$11*I13</f>
        <v>0</v>
      </c>
      <c r="K13" s="241"/>
      <c r="L13" s="19" t="s">
        <v>524</v>
      </c>
    </row>
    <row r="14" spans="1:15" ht="34.950000000000003" customHeight="1">
      <c r="B14" s="71"/>
      <c r="E14" s="241" t="s">
        <v>525</v>
      </c>
      <c r="F14" s="248"/>
      <c r="G14" s="83"/>
      <c r="H14" s="190" t="s">
        <v>520</v>
      </c>
      <c r="I14" s="69">
        <v>10</v>
      </c>
      <c r="J14" s="240">
        <f t="shared" ref="J14:J18" si="0">$K$11*I14</f>
        <v>0</v>
      </c>
      <c r="K14" s="241"/>
      <c r="L14" s="31" t="s">
        <v>526</v>
      </c>
    </row>
    <row r="15" spans="1:15" ht="37.5" customHeight="1">
      <c r="B15" s="71"/>
      <c r="E15" s="241" t="s">
        <v>527</v>
      </c>
      <c r="F15" s="248"/>
      <c r="G15" s="83"/>
      <c r="H15" s="190" t="s">
        <v>528</v>
      </c>
      <c r="I15" s="69">
        <v>10</v>
      </c>
      <c r="J15" s="240">
        <f>$K$11*I15</f>
        <v>0</v>
      </c>
      <c r="K15" s="241"/>
      <c r="L15" s="19" t="s">
        <v>529</v>
      </c>
    </row>
    <row r="16" spans="1:15" ht="39.450000000000003" customHeight="1">
      <c r="B16" s="71"/>
      <c r="E16" s="253" t="s">
        <v>530</v>
      </c>
      <c r="F16" s="254"/>
      <c r="G16" s="83"/>
      <c r="H16" s="190" t="s">
        <v>528</v>
      </c>
      <c r="I16" s="69">
        <v>300</v>
      </c>
      <c r="J16" s="240">
        <f t="shared" si="0"/>
        <v>0</v>
      </c>
      <c r="K16" s="241"/>
      <c r="L16" s="19" t="s">
        <v>531</v>
      </c>
    </row>
    <row r="17" spans="1:12" ht="49.95" customHeight="1">
      <c r="B17" s="71"/>
      <c r="E17" s="253" t="s">
        <v>532</v>
      </c>
      <c r="F17" s="248"/>
      <c r="G17" s="83"/>
      <c r="H17" s="190" t="s">
        <v>533</v>
      </c>
      <c r="I17" s="69">
        <v>20</v>
      </c>
      <c r="J17" s="240">
        <f t="shared" si="0"/>
        <v>0</v>
      </c>
      <c r="K17" s="241"/>
      <c r="L17" s="19" t="s">
        <v>534</v>
      </c>
    </row>
    <row r="18" spans="1:12" ht="102.6" customHeight="1">
      <c r="B18" s="71"/>
      <c r="E18" s="253" t="str">
        <f>VLOOKUP('1.0 Sample_Prep'!E23,IndexLayout!A2:V8,22,FALSE)</f>
        <v>Select index set on 1.0 Sample_Prep tab.</v>
      </c>
      <c r="F18" s="254"/>
      <c r="G18" s="83"/>
      <c r="H18" s="190" t="s">
        <v>535</v>
      </c>
      <c r="I18" s="69">
        <v>10</v>
      </c>
      <c r="J18" s="240">
        <f t="shared" si="0"/>
        <v>0</v>
      </c>
      <c r="K18" s="241"/>
      <c r="L18" s="19" t="s">
        <v>536</v>
      </c>
    </row>
    <row r="19" spans="1:12">
      <c r="D19" s="9"/>
      <c r="E19" s="9"/>
      <c r="F19" s="9"/>
    </row>
    <row r="20" spans="1:12">
      <c r="D20" s="9"/>
      <c r="E20" s="9"/>
      <c r="F20" s="9"/>
    </row>
    <row r="21" spans="1:12">
      <c r="B21" s="71"/>
      <c r="C21" s="4">
        <v>2</v>
      </c>
      <c r="D21" s="9" t="s">
        <v>537</v>
      </c>
      <c r="E21" s="9"/>
      <c r="F21" s="9"/>
    </row>
    <row r="22" spans="1:12">
      <c r="B22" s="71"/>
      <c r="C22" s="4">
        <v>3</v>
      </c>
      <c r="D22" s="9" t="s">
        <v>538</v>
      </c>
      <c r="E22" s="9"/>
      <c r="F22" s="9"/>
    </row>
    <row r="23" spans="1:12">
      <c r="B23" s="71"/>
      <c r="D23" s="9" t="s">
        <v>539</v>
      </c>
      <c r="E23" s="9"/>
      <c r="F23" s="9"/>
    </row>
    <row r="24" spans="1:12">
      <c r="B24" s="71"/>
      <c r="D24" s="9" t="s">
        <v>540</v>
      </c>
      <c r="E24" s="9"/>
      <c r="F24" s="9"/>
    </row>
    <row r="25" spans="1:12">
      <c r="B25" s="71"/>
      <c r="D25" s="9" t="s">
        <v>541</v>
      </c>
      <c r="E25" s="9"/>
      <c r="F25" s="9"/>
    </row>
    <row r="26" spans="1:12">
      <c r="D26" s="9"/>
      <c r="E26" s="9"/>
      <c r="F26" s="9"/>
    </row>
    <row r="27" spans="1:12" ht="18">
      <c r="A27" s="201" t="s">
        <v>542</v>
      </c>
      <c r="B27" s="235"/>
      <c r="C27" s="235"/>
      <c r="D27" s="235"/>
      <c r="E27" s="235"/>
      <c r="F27" s="235"/>
      <c r="G27" s="235"/>
      <c r="H27" s="235"/>
      <c r="I27" s="235"/>
      <c r="J27" s="235"/>
      <c r="K27" s="235"/>
      <c r="L27" s="235"/>
    </row>
    <row r="28" spans="1:12">
      <c r="C28" s="8"/>
    </row>
    <row r="29" spans="1:12">
      <c r="C29" s="107" t="s">
        <v>543</v>
      </c>
    </row>
    <row r="30" spans="1:12" s="20" customFormat="1">
      <c r="C30" s="8"/>
    </row>
    <row r="31" spans="1:12">
      <c r="B31" s="71"/>
      <c r="C31" s="4">
        <v>1</v>
      </c>
      <c r="D31" s="9" t="s">
        <v>544</v>
      </c>
      <c r="E31" s="9"/>
      <c r="F31" s="9"/>
    </row>
    <row r="32" spans="1:12">
      <c r="B32" s="71"/>
      <c r="C32" s="4">
        <v>2</v>
      </c>
      <c r="D32" s="9" t="s">
        <v>545</v>
      </c>
      <c r="E32" s="9"/>
      <c r="F32" s="9"/>
    </row>
    <row r="33" spans="2:9" ht="57.6">
      <c r="D33" s="9"/>
      <c r="E33" s="255" t="s">
        <v>513</v>
      </c>
      <c r="F33" s="256"/>
      <c r="G33" s="38" t="s">
        <v>516</v>
      </c>
      <c r="H33" s="38" t="s">
        <v>546</v>
      </c>
      <c r="I33" s="33">
        <f>K11</f>
        <v>0</v>
      </c>
    </row>
    <row r="34" spans="2:9">
      <c r="B34" s="71"/>
      <c r="D34" s="9"/>
      <c r="E34" s="247" t="s">
        <v>519</v>
      </c>
      <c r="F34" s="248"/>
      <c r="G34" s="2">
        <v>10</v>
      </c>
      <c r="H34" s="239">
        <f>$I$33*G34*1.1</f>
        <v>0</v>
      </c>
      <c r="I34" s="227"/>
    </row>
    <row r="35" spans="2:9">
      <c r="B35" s="71"/>
      <c r="D35" s="9"/>
      <c r="E35" s="247" t="s">
        <v>547</v>
      </c>
      <c r="F35" s="248"/>
      <c r="G35" s="2">
        <v>20</v>
      </c>
      <c r="H35" s="239">
        <f>$I$33*G35*1.1</f>
        <v>0</v>
      </c>
      <c r="I35" s="227"/>
    </row>
    <row r="36" spans="2:9">
      <c r="B36" s="71"/>
      <c r="D36" s="9"/>
      <c r="E36" s="247" t="s">
        <v>525</v>
      </c>
      <c r="F36" s="248"/>
      <c r="G36" s="2">
        <v>10</v>
      </c>
      <c r="H36" s="239">
        <f>$I$33*G36*1.1</f>
        <v>0</v>
      </c>
      <c r="I36" s="227"/>
    </row>
    <row r="37" spans="2:9">
      <c r="D37" s="9"/>
      <c r="E37" s="249" t="s">
        <v>548</v>
      </c>
      <c r="F37" s="250"/>
      <c r="G37" s="64">
        <f>SUM(G34:G36)</f>
        <v>40</v>
      </c>
      <c r="H37" s="251">
        <f>SUM(H34:I36)</f>
        <v>0</v>
      </c>
      <c r="I37" s="252"/>
    </row>
    <row r="38" spans="2:9">
      <c r="D38" s="9"/>
      <c r="E38" s="9"/>
      <c r="F38" s="5"/>
      <c r="G38" s="1"/>
      <c r="H38" s="1"/>
      <c r="I38" s="1"/>
    </row>
    <row r="39" spans="2:9">
      <c r="B39" s="71"/>
      <c r="C39" s="4">
        <v>3</v>
      </c>
      <c r="D39" s="16" t="s">
        <v>549</v>
      </c>
      <c r="E39" s="9"/>
      <c r="F39" s="9"/>
      <c r="H39" s="1"/>
      <c r="I39" s="66"/>
    </row>
    <row r="40" spans="2:9">
      <c r="B40" s="71"/>
      <c r="C40" s="15">
        <v>4</v>
      </c>
      <c r="D40" s="9" t="s">
        <v>550</v>
      </c>
      <c r="E40" s="9"/>
      <c r="F40" s="9"/>
      <c r="H40" s="1"/>
      <c r="I40" s="1"/>
    </row>
    <row r="41" spans="2:9">
      <c r="B41" s="71"/>
      <c r="C41" s="15">
        <v>5</v>
      </c>
      <c r="D41" s="9" t="s">
        <v>551</v>
      </c>
      <c r="E41" s="9"/>
      <c r="F41" s="9"/>
    </row>
    <row r="42" spans="2:9">
      <c r="B42" s="71"/>
      <c r="C42" s="15">
        <v>6</v>
      </c>
      <c r="D42" s="16" t="s">
        <v>552</v>
      </c>
      <c r="E42" s="9"/>
      <c r="F42" s="9"/>
    </row>
    <row r="43" spans="2:9">
      <c r="B43" s="71"/>
      <c r="C43" s="15">
        <v>7</v>
      </c>
      <c r="D43" s="9" t="s">
        <v>553</v>
      </c>
      <c r="E43" s="9"/>
      <c r="F43" s="9"/>
    </row>
    <row r="44" spans="2:9">
      <c r="B44" s="71"/>
      <c r="C44" s="15">
        <v>8</v>
      </c>
      <c r="D44" s="9" t="s">
        <v>554</v>
      </c>
      <c r="E44" s="9"/>
      <c r="F44" s="9"/>
    </row>
    <row r="45" spans="2:9">
      <c r="B45" s="71"/>
      <c r="C45" s="15"/>
      <c r="D45" s="32" t="s">
        <v>555</v>
      </c>
      <c r="E45" s="9" t="str">
        <f>" Pokud kuličky nejsou v jamce rovnoměrně rozloženy, opakujte protřepávání podle kroku "&amp;C43&amp;","</f>
        <v xml:space="preserve"> Pokud kuličky nejsou v jamce rovnoměrně rozloženy, opakujte protřepávání podle kroku 7,</v>
      </c>
      <c r="F45" s="9"/>
    </row>
    <row r="46" spans="2:9">
      <c r="B46" s="71"/>
      <c r="C46" s="15"/>
      <c r="D46" s="32" t="s">
        <v>556</v>
      </c>
      <c r="E46" s="9" t="str">
        <f>"Pokud materiál není na dně jamky nebo se rozstříkl na fólii Microseal B, krátce stočte a opakujte krok protřepání  "&amp;C43&amp;"."</f>
        <v>Pokud materiál není na dně jamky nebo se rozstříkl na fólii Microseal B, krátce stočte a opakujte krok protřepání  7.</v>
      </c>
      <c r="F46" s="9"/>
    </row>
    <row r="47" spans="2:9">
      <c r="B47" s="71"/>
      <c r="C47" s="15">
        <v>9</v>
      </c>
      <c r="D47" s="9" t="s">
        <v>557</v>
      </c>
      <c r="E47" s="9"/>
      <c r="F47" s="9"/>
    </row>
    <row r="48" spans="2:9">
      <c r="B48" s="71"/>
      <c r="C48" s="15"/>
      <c r="D48" s="9"/>
      <c r="E48" s="242" t="s">
        <v>558</v>
      </c>
      <c r="F48" s="243"/>
      <c r="G48" s="71"/>
    </row>
    <row r="49" spans="2:7">
      <c r="B49" s="71"/>
      <c r="C49" s="15"/>
      <c r="D49" s="9"/>
      <c r="E49" s="242" t="s">
        <v>559</v>
      </c>
      <c r="F49" s="243"/>
      <c r="G49" s="71"/>
    </row>
    <row r="50" spans="2:7">
      <c r="C50" s="15"/>
      <c r="D50" s="9" t="s">
        <v>560</v>
      </c>
      <c r="E50" s="1"/>
      <c r="F50" s="66"/>
    </row>
    <row r="51" spans="2:7">
      <c r="C51" s="15"/>
      <c r="D51" s="9"/>
      <c r="E51" s="7" t="s">
        <v>561</v>
      </c>
      <c r="F51" s="7"/>
    </row>
    <row r="52" spans="2:7">
      <c r="C52" s="15"/>
      <c r="D52" s="9"/>
      <c r="E52" s="76" t="s">
        <v>562</v>
      </c>
      <c r="F52" s="7"/>
    </row>
    <row r="53" spans="2:7">
      <c r="C53" s="15"/>
      <c r="E53" s="245" t="s">
        <v>563</v>
      </c>
      <c r="F53" s="246"/>
      <c r="G53" s="35" t="s">
        <v>564</v>
      </c>
    </row>
    <row r="54" spans="2:7">
      <c r="C54" s="15"/>
      <c r="E54" s="239" t="s">
        <v>565</v>
      </c>
      <c r="F54" s="244"/>
      <c r="G54" s="23" t="s">
        <v>566</v>
      </c>
    </row>
    <row r="55" spans="2:7">
      <c r="C55" s="15"/>
      <c r="E55" s="239" t="s">
        <v>567</v>
      </c>
      <c r="F55" s="244"/>
      <c r="G55" s="22" t="s">
        <v>568</v>
      </c>
    </row>
    <row r="56" spans="2:7">
      <c r="C56" s="15"/>
      <c r="E56" s="1"/>
      <c r="F56" s="1"/>
      <c r="G56" s="132"/>
    </row>
    <row r="57" spans="2:7">
      <c r="B57" s="71"/>
      <c r="C57" s="4">
        <v>10</v>
      </c>
      <c r="D57" s="9" t="s">
        <v>569</v>
      </c>
      <c r="E57" s="9"/>
      <c r="F57" s="9"/>
    </row>
    <row r="58" spans="2:7">
      <c r="B58" s="71"/>
      <c r="C58" s="4">
        <v>11</v>
      </c>
      <c r="D58" s="9" t="s">
        <v>570</v>
      </c>
      <c r="E58" s="9"/>
      <c r="F58" s="9"/>
    </row>
    <row r="59" spans="2:7">
      <c r="B59" s="71"/>
      <c r="C59" s="4">
        <v>12</v>
      </c>
      <c r="D59" s="9" t="s">
        <v>571</v>
      </c>
      <c r="E59" s="9"/>
      <c r="F59" s="9"/>
    </row>
    <row r="60" spans="2:7">
      <c r="B60" s="71"/>
      <c r="C60" s="4">
        <v>13</v>
      </c>
      <c r="D60" s="9" t="s">
        <v>572</v>
      </c>
      <c r="E60" s="9"/>
      <c r="F60" s="9"/>
    </row>
    <row r="61" spans="2:7">
      <c r="B61" s="71"/>
      <c r="C61" s="4">
        <v>14</v>
      </c>
      <c r="D61" s="9" t="s">
        <v>553</v>
      </c>
      <c r="E61" s="9"/>
    </row>
    <row r="62" spans="2:7">
      <c r="B62" s="71"/>
      <c r="C62" s="4">
        <v>15</v>
      </c>
      <c r="D62" s="9" t="s">
        <v>573</v>
      </c>
      <c r="E62" s="9"/>
      <c r="F62" s="9"/>
    </row>
    <row r="63" spans="2:7">
      <c r="B63" s="71"/>
      <c r="C63" s="4">
        <v>16</v>
      </c>
      <c r="D63" s="9" t="s">
        <v>574</v>
      </c>
      <c r="E63" s="9"/>
      <c r="F63" s="9"/>
    </row>
    <row r="64" spans="2:7">
      <c r="B64" s="71"/>
      <c r="C64" s="4">
        <v>17</v>
      </c>
      <c r="D64" s="9" t="s">
        <v>575</v>
      </c>
      <c r="E64" s="9"/>
      <c r="F64" s="9"/>
    </row>
    <row r="65" spans="2:9">
      <c r="B65" s="84"/>
      <c r="C65" s="4">
        <v>18</v>
      </c>
      <c r="D65" s="4" t="s">
        <v>576</v>
      </c>
      <c r="E65" s="9"/>
      <c r="F65" s="9"/>
    </row>
    <row r="66" spans="2:9">
      <c r="B66" s="71"/>
      <c r="C66" s="71"/>
      <c r="D66" s="71"/>
      <c r="E66" s="32" t="s">
        <v>555</v>
      </c>
      <c r="F66" s="9" t="s">
        <v>577</v>
      </c>
      <c r="G66" s="9"/>
      <c r="H66" s="9"/>
    </row>
    <row r="67" spans="2:9">
      <c r="B67" s="71"/>
      <c r="C67" s="71"/>
      <c r="D67" s="71"/>
      <c r="E67" s="32" t="s">
        <v>556</v>
      </c>
      <c r="F67" s="9" t="s">
        <v>578</v>
      </c>
      <c r="G67" s="9"/>
      <c r="H67" s="9"/>
    </row>
    <row r="68" spans="2:9">
      <c r="B68" s="71"/>
      <c r="C68" s="71"/>
      <c r="D68" s="71"/>
      <c r="E68" s="32" t="s">
        <v>579</v>
      </c>
      <c r="F68" s="16" t="s">
        <v>580</v>
      </c>
      <c r="G68" s="9"/>
      <c r="H68" s="9"/>
    </row>
    <row r="69" spans="2:9">
      <c r="B69" s="71"/>
      <c r="C69" s="71"/>
      <c r="D69" s="71"/>
      <c r="E69" s="32" t="s">
        <v>581</v>
      </c>
      <c r="F69" s="9" t="s">
        <v>582</v>
      </c>
      <c r="G69" s="9"/>
      <c r="H69" s="9"/>
    </row>
    <row r="70" spans="2:9">
      <c r="B70" s="71"/>
      <c r="C70" s="71"/>
      <c r="D70" s="71"/>
      <c r="E70" s="32" t="s">
        <v>583</v>
      </c>
      <c r="F70" s="9" t="s">
        <v>584</v>
      </c>
      <c r="G70" s="9"/>
      <c r="H70" s="9"/>
    </row>
    <row r="71" spans="2:9">
      <c r="B71" s="71"/>
      <c r="C71" s="71"/>
      <c r="D71" s="71"/>
      <c r="E71" s="32" t="s">
        <v>585</v>
      </c>
      <c r="F71" s="24" t="s">
        <v>586</v>
      </c>
      <c r="G71" s="9"/>
      <c r="H71" s="9"/>
    </row>
    <row r="72" spans="2:9">
      <c r="B72" s="71"/>
      <c r="C72" s="71"/>
      <c r="D72" s="9"/>
      <c r="E72" s="32" t="s">
        <v>587</v>
      </c>
      <c r="F72" s="9" t="str">
        <f>"Opakujte kroky  "&amp;E66&amp;" až  "&amp;E71&amp;" ještě dvakrát, k dosažení celkem 3 promytí."</f>
        <v>Opakujte kroky  a) až  f) ještě dvakrát, k dosažení celkem 3 promytí.</v>
      </c>
      <c r="G72" s="9"/>
      <c r="H72" s="9"/>
    </row>
    <row r="73" spans="2:9">
      <c r="B73" s="21"/>
      <c r="C73" s="15"/>
      <c r="D73" s="9"/>
      <c r="E73" s="9"/>
      <c r="F73" s="9"/>
    </row>
    <row r="74" spans="2:9" s="20" customFormat="1">
      <c r="C74" s="5" t="s">
        <v>588</v>
      </c>
      <c r="D74" s="4"/>
      <c r="E74" s="4"/>
      <c r="F74" s="4"/>
    </row>
    <row r="75" spans="2:9" s="20" customFormat="1">
      <c r="C75" s="8"/>
    </row>
    <row r="76" spans="2:9">
      <c r="B76" s="71"/>
      <c r="C76" s="4">
        <v>19</v>
      </c>
      <c r="D76" s="9" t="s">
        <v>589</v>
      </c>
      <c r="E76" s="9"/>
      <c r="F76" s="9"/>
    </row>
    <row r="77" spans="2:9" ht="57.6">
      <c r="D77" s="9"/>
      <c r="E77" s="258" t="s">
        <v>513</v>
      </c>
      <c r="F77" s="259"/>
      <c r="G77" s="38" t="s">
        <v>516</v>
      </c>
      <c r="H77" s="38" t="s">
        <v>546</v>
      </c>
      <c r="I77" s="34">
        <f>K11</f>
        <v>0</v>
      </c>
    </row>
    <row r="78" spans="2:9">
      <c r="D78" s="9"/>
      <c r="E78" s="247" t="s">
        <v>547</v>
      </c>
      <c r="F78" s="248"/>
      <c r="G78" s="2">
        <v>20</v>
      </c>
      <c r="H78" s="239">
        <f>$I$77*G78*1.1</f>
        <v>0</v>
      </c>
      <c r="I78" s="227"/>
    </row>
    <row r="79" spans="2:9" ht="25.2" customHeight="1">
      <c r="D79" s="9"/>
      <c r="E79" s="260" t="s">
        <v>590</v>
      </c>
      <c r="F79" s="254"/>
      <c r="G79" s="2">
        <v>20</v>
      </c>
      <c r="H79" s="239">
        <f>$I$77*G79*1.1</f>
        <v>0</v>
      </c>
      <c r="I79" s="227"/>
    </row>
    <row r="80" spans="2:9">
      <c r="D80" s="9"/>
      <c r="E80" s="249" t="s">
        <v>548</v>
      </c>
      <c r="F80" s="250"/>
      <c r="G80" s="64">
        <f>SUM(G78:G79)</f>
        <v>40</v>
      </c>
      <c r="H80" s="251">
        <f>SUM(H78:I79)</f>
        <v>0</v>
      </c>
      <c r="I80" s="252"/>
    </row>
    <row r="81" spans="2:9">
      <c r="D81" s="9"/>
      <c r="E81" s="9"/>
      <c r="F81" s="5"/>
      <c r="G81" s="1"/>
      <c r="H81" s="1"/>
      <c r="I81" s="1"/>
    </row>
    <row r="82" spans="2:9">
      <c r="C82" s="70" t="s">
        <v>591</v>
      </c>
      <c r="D82" s="9"/>
      <c r="E82" s="9"/>
      <c r="F82" s="5"/>
      <c r="G82" s="1"/>
      <c r="H82" s="1"/>
      <c r="I82" s="1"/>
    </row>
    <row r="83" spans="2:9">
      <c r="D83" s="9"/>
      <c r="E83" s="9"/>
      <c r="F83" s="5"/>
      <c r="G83" s="1"/>
      <c r="H83" s="1"/>
      <c r="I83" s="1"/>
    </row>
    <row r="84" spans="2:9">
      <c r="B84" s="71"/>
      <c r="C84" s="4">
        <v>20</v>
      </c>
      <c r="D84" s="9" t="s">
        <v>577</v>
      </c>
      <c r="E84" s="9"/>
      <c r="F84" s="9"/>
    </row>
    <row r="85" spans="2:9">
      <c r="B85" s="71"/>
      <c r="C85" s="4">
        <v>21</v>
      </c>
      <c r="D85" s="16" t="s">
        <v>592</v>
      </c>
      <c r="E85" s="9"/>
      <c r="F85" s="9"/>
    </row>
    <row r="86" spans="2:9">
      <c r="B86" s="71"/>
      <c r="C86" s="4">
        <v>22</v>
      </c>
      <c r="D86" s="16" t="s">
        <v>593</v>
      </c>
      <c r="E86" s="9"/>
      <c r="F86" s="9"/>
    </row>
    <row r="87" spans="2:9">
      <c r="B87" s="71"/>
      <c r="C87" s="4">
        <v>23</v>
      </c>
      <c r="D87" s="9" t="s">
        <v>594</v>
      </c>
      <c r="E87" s="9"/>
      <c r="F87" s="9"/>
    </row>
    <row r="88" spans="2:9">
      <c r="B88" s="71"/>
      <c r="C88" s="4">
        <v>24</v>
      </c>
      <c r="D88" s="9" t="s">
        <v>551</v>
      </c>
      <c r="E88" s="9"/>
      <c r="F88" s="9"/>
    </row>
    <row r="89" spans="2:9">
      <c r="B89" s="71"/>
      <c r="C89" s="4">
        <v>25</v>
      </c>
      <c r="D89" s="16" t="s">
        <v>595</v>
      </c>
      <c r="E89" s="9"/>
      <c r="F89" s="9"/>
    </row>
    <row r="90" spans="2:9" s="26" customFormat="1">
      <c r="B90" s="85"/>
      <c r="C90" s="4">
        <v>26</v>
      </c>
      <c r="D90" s="16" t="s">
        <v>596</v>
      </c>
      <c r="E90" s="25"/>
      <c r="F90" s="25"/>
    </row>
    <row r="91" spans="2:9" ht="22.35" customHeight="1">
      <c r="C91" s="15"/>
      <c r="D91" s="20" t="s">
        <v>597</v>
      </c>
      <c r="E91" s="9"/>
      <c r="F91" s="9"/>
    </row>
    <row r="92" spans="2:9">
      <c r="C92" s="85"/>
      <c r="D92" s="4">
        <v>27</v>
      </c>
      <c r="E92" s="9" t="s">
        <v>598</v>
      </c>
      <c r="F92" s="9"/>
    </row>
    <row r="93" spans="2:9">
      <c r="C93" s="85"/>
      <c r="D93" s="4">
        <v>28</v>
      </c>
      <c r="E93" s="9" t="s">
        <v>599</v>
      </c>
      <c r="F93" s="9"/>
    </row>
    <row r="94" spans="2:9">
      <c r="C94" s="85"/>
      <c r="D94" s="4">
        <v>29</v>
      </c>
      <c r="E94" s="9" t="s">
        <v>600</v>
      </c>
      <c r="F94" s="9"/>
    </row>
    <row r="95" spans="2:9">
      <c r="C95" s="85"/>
      <c r="D95" s="4">
        <v>30</v>
      </c>
      <c r="E95" s="9" t="s">
        <v>601</v>
      </c>
      <c r="F95" s="9"/>
    </row>
    <row r="96" spans="2:9">
      <c r="C96" s="15"/>
      <c r="D96" s="169" t="s">
        <v>602</v>
      </c>
      <c r="E96" s="9"/>
      <c r="F96" s="9"/>
    </row>
    <row r="97" spans="2:12" ht="23.55" customHeight="1">
      <c r="D97" s="170" t="s">
        <v>603</v>
      </c>
      <c r="E97" s="171"/>
      <c r="F97" s="9"/>
    </row>
    <row r="98" spans="2:12">
      <c r="C98" s="85"/>
      <c r="D98" s="4">
        <v>27</v>
      </c>
      <c r="E98" s="172" t="s">
        <v>604</v>
      </c>
      <c r="F98" s="9"/>
    </row>
    <row r="99" spans="2:12">
      <c r="C99" s="85"/>
      <c r="D99" s="4">
        <v>28</v>
      </c>
      <c r="E99" s="172" t="s">
        <v>605</v>
      </c>
      <c r="F99" s="9"/>
    </row>
    <row r="100" spans="2:12">
      <c r="C100" s="85"/>
      <c r="D100" s="4">
        <v>29</v>
      </c>
      <c r="E100" s="172" t="s">
        <v>606</v>
      </c>
      <c r="F100" s="9"/>
    </row>
    <row r="101" spans="2:12" ht="46.8" customHeight="1">
      <c r="C101" s="85"/>
      <c r="D101" s="70">
        <v>30</v>
      </c>
      <c r="E101" s="261" t="s">
        <v>607</v>
      </c>
      <c r="F101" s="262"/>
      <c r="G101" s="262"/>
      <c r="H101" s="262"/>
      <c r="I101" s="262"/>
      <c r="J101" s="262"/>
    </row>
    <row r="102" spans="2:12" s="70" customFormat="1" ht="21.6" customHeight="1">
      <c r="D102" s="173" t="s">
        <v>602</v>
      </c>
      <c r="E102" s="171"/>
      <c r="F102" s="153"/>
    </row>
    <row r="103" spans="2:12">
      <c r="B103" s="71"/>
      <c r="C103" s="4">
        <v>31</v>
      </c>
      <c r="D103" s="9" t="s">
        <v>572</v>
      </c>
      <c r="E103" s="9"/>
      <c r="F103" s="9"/>
    </row>
    <row r="104" spans="2:12">
      <c r="B104" s="71"/>
      <c r="C104" s="4">
        <v>32</v>
      </c>
      <c r="D104" s="9" t="s">
        <v>608</v>
      </c>
      <c r="E104" s="9"/>
      <c r="F104" s="9"/>
    </row>
    <row r="105" spans="2:12" ht="29.1" customHeight="1">
      <c r="B105" s="71"/>
      <c r="C105" s="70">
        <v>33</v>
      </c>
      <c r="D105" s="214" t="s">
        <v>609</v>
      </c>
      <c r="E105" s="215"/>
      <c r="F105" s="215"/>
      <c r="G105" s="215"/>
      <c r="H105" s="215"/>
      <c r="I105" s="215"/>
      <c r="J105" s="215"/>
      <c r="K105" s="215"/>
      <c r="L105" s="215"/>
    </row>
    <row r="106" spans="2:12">
      <c r="B106" s="71"/>
      <c r="C106" s="4">
        <v>34</v>
      </c>
      <c r="D106" s="9" t="s">
        <v>610</v>
      </c>
      <c r="F106" s="9"/>
    </row>
    <row r="107" spans="2:12">
      <c r="B107" s="71"/>
      <c r="C107" s="15"/>
      <c r="D107" s="9"/>
      <c r="E107" s="242" t="s">
        <v>558</v>
      </c>
      <c r="F107" s="243"/>
      <c r="G107" s="71"/>
    </row>
    <row r="108" spans="2:12">
      <c r="B108" s="71"/>
      <c r="C108" s="15"/>
      <c r="D108" s="9"/>
      <c r="E108" s="242" t="s">
        <v>559</v>
      </c>
      <c r="F108" s="243"/>
      <c r="G108" s="71"/>
    </row>
    <row r="109" spans="2:12">
      <c r="C109" s="15"/>
      <c r="D109" s="9" t="s">
        <v>611</v>
      </c>
      <c r="E109" s="1"/>
      <c r="F109" s="66"/>
    </row>
    <row r="110" spans="2:12">
      <c r="C110" s="15"/>
      <c r="D110" s="9"/>
      <c r="E110" s="7" t="s">
        <v>561</v>
      </c>
      <c r="F110" s="7"/>
    </row>
    <row r="111" spans="2:12" ht="15" thickBot="1">
      <c r="C111" s="15"/>
      <c r="D111" s="9"/>
      <c r="E111" s="76" t="s">
        <v>562</v>
      </c>
      <c r="F111" s="7"/>
    </row>
    <row r="112" spans="2:12">
      <c r="D112" s="9"/>
      <c r="E112" s="54" t="s">
        <v>612</v>
      </c>
      <c r="F112" s="55" t="s">
        <v>613</v>
      </c>
      <c r="G112" s="56" t="s">
        <v>563</v>
      </c>
      <c r="H112" s="56" t="s">
        <v>564</v>
      </c>
      <c r="I112" s="57" t="s">
        <v>614</v>
      </c>
    </row>
    <row r="113" spans="1:12">
      <c r="D113" s="9"/>
      <c r="E113" s="49">
        <v>1</v>
      </c>
      <c r="F113" s="27" t="s">
        <v>615</v>
      </c>
      <c r="G113" s="28" t="s">
        <v>616</v>
      </c>
      <c r="H113" s="2" t="s">
        <v>617</v>
      </c>
      <c r="I113" s="58">
        <v>1</v>
      </c>
    </row>
    <row r="114" spans="1:12" ht="29.4" thickBot="1">
      <c r="D114" s="9"/>
      <c r="E114" s="59">
        <v>2</v>
      </c>
      <c r="F114" s="191" t="s">
        <v>618</v>
      </c>
      <c r="G114" s="40" t="s">
        <v>619</v>
      </c>
      <c r="H114" s="41" t="s">
        <v>617</v>
      </c>
      <c r="I114" s="60">
        <v>1</v>
      </c>
    </row>
    <row r="115" spans="1:12">
      <c r="D115" s="9"/>
      <c r="E115" s="45">
        <v>3</v>
      </c>
      <c r="F115" s="46" t="s">
        <v>620</v>
      </c>
      <c r="G115" s="47" t="s">
        <v>619</v>
      </c>
      <c r="H115" s="48" t="s">
        <v>621</v>
      </c>
      <c r="I115" s="236">
        <v>9</v>
      </c>
    </row>
    <row r="116" spans="1:12">
      <c r="D116" s="9"/>
      <c r="E116" s="49">
        <v>4</v>
      </c>
      <c r="F116" s="27" t="s">
        <v>622</v>
      </c>
      <c r="G116" s="28" t="s">
        <v>623</v>
      </c>
      <c r="H116" s="2" t="s">
        <v>624</v>
      </c>
      <c r="I116" s="237"/>
    </row>
    <row r="117" spans="1:12" ht="15" thickBot="1">
      <c r="D117" s="9"/>
      <c r="E117" s="50">
        <v>5</v>
      </c>
      <c r="F117" s="51" t="s">
        <v>625</v>
      </c>
      <c r="G117" s="52" t="s">
        <v>616</v>
      </c>
      <c r="H117" s="53" t="s">
        <v>617</v>
      </c>
      <c r="I117" s="238"/>
    </row>
    <row r="118" spans="1:12">
      <c r="D118" s="9"/>
      <c r="E118" s="61">
        <v>6</v>
      </c>
      <c r="F118" s="42" t="s">
        <v>626</v>
      </c>
      <c r="G118" s="43" t="s">
        <v>616</v>
      </c>
      <c r="H118" s="44" t="s">
        <v>617</v>
      </c>
      <c r="I118" s="62">
        <v>1</v>
      </c>
    </row>
    <row r="119" spans="1:12" ht="43.8" thickBot="1">
      <c r="D119" s="9"/>
      <c r="E119" s="50">
        <v>7</v>
      </c>
      <c r="F119" s="192" t="s">
        <v>627</v>
      </c>
      <c r="G119" s="52" t="s">
        <v>567</v>
      </c>
      <c r="H119" s="53" t="s">
        <v>628</v>
      </c>
      <c r="I119" s="63">
        <v>1</v>
      </c>
    </row>
    <row r="120" spans="1:12">
      <c r="B120"/>
      <c r="C120" s="15"/>
      <c r="D120" s="9"/>
      <c r="E120" s="9"/>
      <c r="F120" s="9"/>
    </row>
    <row r="121" spans="1:12" s="20" customFormat="1">
      <c r="C121" s="8" t="s">
        <v>629</v>
      </c>
      <c r="D121" s="4"/>
      <c r="E121" s="4"/>
      <c r="F121" s="4"/>
    </row>
    <row r="122" spans="1:12" s="20" customFormat="1">
      <c r="C122" s="8" t="s">
        <v>630</v>
      </c>
    </row>
    <row r="123" spans="1:12">
      <c r="C123" s="9"/>
      <c r="E123" s="9"/>
      <c r="F123" s="9"/>
    </row>
    <row r="124" spans="1:12">
      <c r="B124" s="67" t="s">
        <v>631</v>
      </c>
      <c r="C124" s="68"/>
      <c r="D124" s="68"/>
      <c r="E124" s="68"/>
      <c r="F124" s="71"/>
    </row>
    <row r="125" spans="1:12">
      <c r="D125" s="9"/>
      <c r="E125" s="9"/>
      <c r="F125" s="9"/>
    </row>
    <row r="126" spans="1:12" ht="18">
      <c r="A126" s="201" t="s">
        <v>632</v>
      </c>
      <c r="B126" s="235"/>
      <c r="C126" s="235"/>
      <c r="D126" s="235"/>
      <c r="E126" s="235"/>
      <c r="F126" s="235"/>
      <c r="G126" s="235"/>
      <c r="H126" s="235"/>
      <c r="I126" s="235"/>
      <c r="J126" s="235"/>
      <c r="K126" s="235"/>
      <c r="L126" s="235"/>
    </row>
    <row r="129" spans="8:8">
      <c r="H129" s="29"/>
    </row>
  </sheetData>
  <sheetProtection algorithmName="SHA-512" hashValue="thxS7oue3x5MtfkHP8/a1YzsoklEAzkl2C7ggSC1RtRyhbsOUBLaJXfZhZ9SbE4idCIxfBtxQQmhW5o0CiihWw==" saltValue="yjzSls/aUbNd0H6AzQKo4w==" spinCount="100000" sheet="1" objects="1" scenarios="1"/>
  <mergeCells count="48">
    <mergeCell ref="E107:F107"/>
    <mergeCell ref="E108:F108"/>
    <mergeCell ref="E77:F77"/>
    <mergeCell ref="E78:F78"/>
    <mergeCell ref="E55:F55"/>
    <mergeCell ref="D105:L105"/>
    <mergeCell ref="H80:I80"/>
    <mergeCell ref="E79:F79"/>
    <mergeCell ref="E80:F80"/>
    <mergeCell ref="E101:J101"/>
    <mergeCell ref="E11:F11"/>
    <mergeCell ref="E12:F12"/>
    <mergeCell ref="E13:F13"/>
    <mergeCell ref="E14:F14"/>
    <mergeCell ref="E15:F15"/>
    <mergeCell ref="H37:I37"/>
    <mergeCell ref="E16:F16"/>
    <mergeCell ref="E17:F17"/>
    <mergeCell ref="E18:F18"/>
    <mergeCell ref="E33:F33"/>
    <mergeCell ref="E34:F34"/>
    <mergeCell ref="J15:K15"/>
    <mergeCell ref="J12:K12"/>
    <mergeCell ref="J13:K13"/>
    <mergeCell ref="J14:K14"/>
    <mergeCell ref="H36:I36"/>
    <mergeCell ref="E49:F49"/>
    <mergeCell ref="E54:F54"/>
    <mergeCell ref="E53:F53"/>
    <mergeCell ref="E35:F35"/>
    <mergeCell ref="E36:F36"/>
    <mergeCell ref="E37:F37"/>
    <mergeCell ref="A1:L1"/>
    <mergeCell ref="A8:L8"/>
    <mergeCell ref="A27:L27"/>
    <mergeCell ref="A126:L126"/>
    <mergeCell ref="I115:I117"/>
    <mergeCell ref="B5:E5"/>
    <mergeCell ref="B4:E4"/>
    <mergeCell ref="B3:E3"/>
    <mergeCell ref="H78:I78"/>
    <mergeCell ref="H79:I79"/>
    <mergeCell ref="J16:K16"/>
    <mergeCell ref="J17:K17"/>
    <mergeCell ref="J18:K18"/>
    <mergeCell ref="H34:I34"/>
    <mergeCell ref="H35:I35"/>
    <mergeCell ref="E48:F48"/>
  </mergeCells>
  <pageMargins left="0.70866141732283472" right="0.70866141732283472" top="0.74803149606299213" bottom="0.74803149606299213" header="0.31496062992125984" footer="0.31496062992125984"/>
  <pageSetup paperSize="9" scale="60" fitToHeight="0" orientation="portrait" r:id="rId1"/>
  <headerFooter>
    <oddHeader>&amp;R&amp;G</oddHeader>
    <oddFooter>&amp;L&amp;8Version: 1.0&amp;C&amp;8&amp;P of &amp;N&amp;R&amp;8Revidováno: září 2023</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O80"/>
  <sheetViews>
    <sheetView zoomScaleNormal="100" workbookViewId="0">
      <selection sqref="A1:L1"/>
    </sheetView>
  </sheetViews>
  <sheetFormatPr defaultColWidth="8.5546875" defaultRowHeight="14.4"/>
  <cols>
    <col min="1" max="2" width="2.5546875" style="4" customWidth="1"/>
    <col min="3" max="3" width="3.5546875" style="4" customWidth="1"/>
    <col min="4" max="4" width="2.5546875" style="4" customWidth="1"/>
    <col min="5" max="5" width="5.5546875" style="4" customWidth="1"/>
    <col min="6" max="6" width="15.21875" style="4" customWidth="1"/>
    <col min="7" max="7" width="28.44140625" style="4" customWidth="1"/>
    <col min="8" max="8" width="17.5546875" style="4" customWidth="1"/>
    <col min="9" max="9" width="12.5546875" style="4" customWidth="1"/>
    <col min="10" max="10" width="13.44140625" style="4" customWidth="1"/>
    <col min="11" max="11" width="6.5546875" style="4" customWidth="1"/>
    <col min="12" max="12" width="26.5546875" style="4" customWidth="1"/>
    <col min="13" max="16384" width="8.5546875" style="4"/>
  </cols>
  <sheetData>
    <row r="1" spans="1:15" s="15" customFormat="1" ht="18">
      <c r="A1" s="198" t="s">
        <v>633</v>
      </c>
      <c r="B1" s="234"/>
      <c r="C1" s="234"/>
      <c r="D1" s="234"/>
      <c r="E1" s="234"/>
      <c r="F1" s="234"/>
      <c r="G1" s="234"/>
      <c r="H1" s="234"/>
      <c r="I1" s="234"/>
      <c r="J1" s="234"/>
      <c r="K1" s="234"/>
      <c r="L1" s="234"/>
      <c r="M1"/>
      <c r="O1"/>
    </row>
    <row r="2" spans="1:15">
      <c r="C2" s="6"/>
      <c r="D2" s="7"/>
      <c r="E2" s="7"/>
      <c r="F2" s="7"/>
    </row>
    <row r="3" spans="1:15">
      <c r="B3" s="206" t="s">
        <v>360</v>
      </c>
      <c r="C3" s="207"/>
      <c r="D3" s="207"/>
      <c r="E3" s="207"/>
      <c r="F3" s="2" t="str">
        <f>'1.0 Sample_Prep'!E3</f>
        <v>Zadejte</v>
      </c>
    </row>
    <row r="4" spans="1:15">
      <c r="B4" s="228" t="s">
        <v>369</v>
      </c>
      <c r="C4" s="229"/>
      <c r="D4" s="229"/>
      <c r="E4" s="230"/>
      <c r="F4" s="82"/>
    </row>
    <row r="5" spans="1:15">
      <c r="A5" s="5"/>
      <c r="B5" s="231" t="s">
        <v>370</v>
      </c>
      <c r="C5" s="232"/>
      <c r="D5" s="232"/>
      <c r="E5" s="233"/>
      <c r="F5" s="82"/>
    </row>
    <row r="6" spans="1:15">
      <c r="A6" s="5"/>
      <c r="B6" s="67" t="s">
        <v>510</v>
      </c>
      <c r="C6" s="68"/>
      <c r="D6" s="68"/>
      <c r="E6" s="68"/>
      <c r="F6" s="82"/>
    </row>
    <row r="7" spans="1:15">
      <c r="C7" s="6"/>
      <c r="D7" s="7"/>
      <c r="E7" s="7"/>
      <c r="F7" s="7"/>
    </row>
    <row r="8" spans="1:15" ht="18">
      <c r="A8" s="201" t="s">
        <v>634</v>
      </c>
      <c r="B8" s="235"/>
      <c r="C8" s="235"/>
      <c r="D8" s="235"/>
      <c r="E8" s="235"/>
      <c r="F8" s="235"/>
      <c r="G8" s="235"/>
      <c r="H8" s="235"/>
      <c r="I8" s="235"/>
      <c r="J8" s="235"/>
      <c r="K8" s="235"/>
      <c r="L8" s="235"/>
    </row>
    <row r="9" spans="1:15">
      <c r="C9" s="6"/>
      <c r="D9" s="7"/>
      <c r="E9" s="7"/>
      <c r="F9" s="7"/>
    </row>
    <row r="10" spans="1:15" ht="29.55" customHeight="1">
      <c r="C10" s="279" t="s">
        <v>635</v>
      </c>
      <c r="D10" s="262"/>
      <c r="E10" s="262"/>
      <c r="F10" s="262"/>
      <c r="G10" s="262"/>
      <c r="H10" s="262"/>
      <c r="I10" s="262"/>
      <c r="J10" s="262"/>
      <c r="K10" s="262"/>
      <c r="L10" s="262"/>
    </row>
    <row r="11" spans="1:15">
      <c r="C11" s="6"/>
      <c r="D11" s="7"/>
      <c r="E11" s="7"/>
      <c r="F11" s="7"/>
    </row>
    <row r="12" spans="1:15" ht="40.5" customHeight="1">
      <c r="C12" s="259" t="s">
        <v>636</v>
      </c>
      <c r="D12" s="268"/>
      <c r="E12" s="268"/>
      <c r="F12" s="268"/>
      <c r="G12" s="268"/>
      <c r="H12" s="37" t="s">
        <v>637</v>
      </c>
      <c r="I12" s="37" t="s">
        <v>638</v>
      </c>
      <c r="J12" s="38" t="s">
        <v>639</v>
      </c>
      <c r="K12" s="273" t="s">
        <v>640</v>
      </c>
      <c r="L12" s="266"/>
    </row>
    <row r="13" spans="1:15" ht="27.75" customHeight="1">
      <c r="C13" s="277" t="s">
        <v>641</v>
      </c>
      <c r="D13" s="278"/>
      <c r="E13" s="278"/>
      <c r="F13" s="278"/>
      <c r="G13" s="278"/>
      <c r="H13" s="135" t="s">
        <v>642</v>
      </c>
      <c r="I13" s="136">
        <v>48</v>
      </c>
      <c r="J13" s="136">
        <v>96</v>
      </c>
      <c r="K13" s="274">
        <f>'1.0 Sample_Prep'!E7</f>
        <v>0</v>
      </c>
      <c r="L13" s="275"/>
    </row>
    <row r="14" spans="1:15" ht="14.55" customHeight="1">
      <c r="C14" s="272" t="s">
        <v>643</v>
      </c>
      <c r="D14" s="266"/>
      <c r="E14" s="266"/>
      <c r="F14" s="266"/>
      <c r="G14" s="266"/>
      <c r="H14" s="135" t="s">
        <v>332</v>
      </c>
      <c r="I14" s="136">
        <v>5</v>
      </c>
      <c r="J14" s="136">
        <v>2.5</v>
      </c>
      <c r="K14" s="276">
        <f>IF(AND(K13&gt;=6,K13&lt;=24),H14,IF(AND(K13&gt;=25,K13&lt;=48),I14,IF(AND(K13&gt;=49,K13&lt;=96),J14,0)))</f>
        <v>0</v>
      </c>
      <c r="L14" s="275"/>
    </row>
    <row r="15" spans="1:15" ht="14.55" customHeight="1">
      <c r="C15" s="272" t="s">
        <v>644</v>
      </c>
      <c r="D15" s="266"/>
      <c r="E15" s="266"/>
      <c r="F15" s="266"/>
      <c r="G15" s="266"/>
      <c r="H15" s="135" t="s">
        <v>645</v>
      </c>
      <c r="I15" s="136">
        <v>25</v>
      </c>
      <c r="J15" s="136">
        <v>12.5</v>
      </c>
      <c r="K15" s="240">
        <f>K14*5</f>
        <v>0</v>
      </c>
      <c r="L15" s="271"/>
    </row>
    <row r="16" spans="1:15" ht="14.55" customHeight="1">
      <c r="C16" s="272" t="s">
        <v>646</v>
      </c>
      <c r="D16" s="266"/>
      <c r="E16" s="266"/>
      <c r="F16" s="266"/>
      <c r="G16" s="266"/>
      <c r="H16" s="135" t="s">
        <v>647</v>
      </c>
      <c r="I16" s="136">
        <v>27.5</v>
      </c>
      <c r="J16" s="136">
        <v>13.75</v>
      </c>
      <c r="K16" s="240">
        <f>K14*5.5</f>
        <v>0</v>
      </c>
      <c r="L16" s="271"/>
    </row>
    <row r="17" spans="1:12" ht="14.55" customHeight="1">
      <c r="C17" s="272" t="s">
        <v>648</v>
      </c>
      <c r="D17" s="266"/>
      <c r="E17" s="266"/>
      <c r="F17" s="266"/>
      <c r="G17" s="266"/>
      <c r="H17" s="135" t="s">
        <v>649</v>
      </c>
      <c r="I17" s="136">
        <v>2.2000000000000002</v>
      </c>
      <c r="J17" s="136">
        <v>1.1000000000000001</v>
      </c>
      <c r="K17" s="240">
        <f>K14*0.44</f>
        <v>0</v>
      </c>
      <c r="L17" s="271"/>
    </row>
    <row r="18" spans="1:12">
      <c r="C18" s="6"/>
      <c r="D18" s="7"/>
      <c r="E18" s="114"/>
      <c r="F18" s="5"/>
      <c r="G18" s="5"/>
      <c r="H18" s="111"/>
      <c r="I18" s="74"/>
      <c r="J18" s="74"/>
    </row>
    <row r="19" spans="1:12" ht="18">
      <c r="A19" s="201" t="s">
        <v>511</v>
      </c>
      <c r="B19" s="235"/>
      <c r="C19" s="235"/>
      <c r="D19" s="235"/>
      <c r="E19" s="235"/>
      <c r="F19" s="235"/>
      <c r="G19" s="235"/>
      <c r="H19" s="235"/>
      <c r="I19" s="235"/>
      <c r="J19" s="235"/>
      <c r="K19" s="235"/>
      <c r="L19" s="235"/>
    </row>
    <row r="20" spans="1:12">
      <c r="C20" s="8"/>
    </row>
    <row r="21" spans="1:12">
      <c r="B21" s="71"/>
      <c r="C21" s="4">
        <v>1</v>
      </c>
      <c r="D21" s="16" t="s">
        <v>650</v>
      </c>
      <c r="E21" s="9"/>
    </row>
    <row r="22" spans="1:12" s="17" customFormat="1" ht="43.2">
      <c r="C22" s="18"/>
      <c r="E22" s="257" t="s">
        <v>513</v>
      </c>
      <c r="F22" s="256"/>
      <c r="G22" s="36" t="s">
        <v>514</v>
      </c>
      <c r="H22" s="37" t="s">
        <v>515</v>
      </c>
      <c r="I22" s="38" t="s">
        <v>651</v>
      </c>
      <c r="J22" s="38" t="s">
        <v>652</v>
      </c>
      <c r="K22" s="119">
        <f>K13</f>
        <v>0</v>
      </c>
      <c r="L22" s="38" t="s">
        <v>518</v>
      </c>
    </row>
    <row r="23" spans="1:12" ht="57.6" customHeight="1">
      <c r="B23" s="71"/>
      <c r="E23" s="253" t="s">
        <v>653</v>
      </c>
      <c r="F23" s="248"/>
      <c r="G23" s="83"/>
      <c r="H23" s="75" t="s">
        <v>654</v>
      </c>
      <c r="I23" s="69">
        <v>24.7</v>
      </c>
      <c r="J23" s="240">
        <f>H30+(K17*K13)</f>
        <v>0</v>
      </c>
      <c r="K23" s="241"/>
      <c r="L23" s="65" t="s">
        <v>655</v>
      </c>
    </row>
    <row r="24" spans="1:12" ht="29.85" customHeight="1">
      <c r="B24" s="71"/>
      <c r="E24" s="241" t="s">
        <v>547</v>
      </c>
      <c r="F24" s="248"/>
      <c r="G24" s="83"/>
      <c r="H24" s="75" t="s">
        <v>656</v>
      </c>
      <c r="I24" s="69" t="s">
        <v>657</v>
      </c>
      <c r="J24" s="240">
        <f>H31+H37</f>
        <v>720</v>
      </c>
      <c r="K24" s="241"/>
      <c r="L24" s="19" t="s">
        <v>524</v>
      </c>
    </row>
    <row r="25" spans="1:12" ht="29.85" customHeight="1">
      <c r="B25" s="71"/>
      <c r="E25" s="241" t="s">
        <v>658</v>
      </c>
      <c r="F25" s="248"/>
      <c r="G25" s="83"/>
      <c r="H25" s="75" t="s">
        <v>656</v>
      </c>
      <c r="I25" s="69">
        <v>1920</v>
      </c>
      <c r="J25" s="240">
        <f>H36</f>
        <v>2880</v>
      </c>
      <c r="K25" s="241"/>
      <c r="L25" s="19" t="s">
        <v>659</v>
      </c>
    </row>
    <row r="26" spans="1:12" ht="43.2">
      <c r="B26" s="71"/>
      <c r="E26" s="241" t="s">
        <v>660</v>
      </c>
      <c r="F26" s="248"/>
      <c r="G26" s="83"/>
      <c r="H26" s="75" t="s">
        <v>654</v>
      </c>
      <c r="I26" s="69" t="s">
        <v>657</v>
      </c>
      <c r="J26" s="240">
        <f>37*I35</f>
        <v>37</v>
      </c>
      <c r="K26" s="241"/>
      <c r="L26" s="19" t="s">
        <v>661</v>
      </c>
    </row>
    <row r="27" spans="1:12">
      <c r="D27" s="9"/>
      <c r="E27" s="9"/>
      <c r="F27" s="9"/>
    </row>
    <row r="28" spans="1:12">
      <c r="B28" s="71"/>
      <c r="C28" s="4">
        <v>2</v>
      </c>
      <c r="D28" s="9" t="s">
        <v>662</v>
      </c>
      <c r="E28" s="9"/>
      <c r="F28" s="9"/>
    </row>
    <row r="29" spans="1:12" ht="57.6">
      <c r="D29" s="9"/>
      <c r="E29" s="255" t="s">
        <v>513</v>
      </c>
      <c r="F29" s="265"/>
      <c r="G29" s="38" t="s">
        <v>516</v>
      </c>
      <c r="H29" s="38" t="s">
        <v>663</v>
      </c>
      <c r="I29" s="137">
        <f>K13</f>
        <v>0</v>
      </c>
      <c r="J29" s="264"/>
      <c r="K29" s="262"/>
      <c r="L29" s="262"/>
    </row>
    <row r="30" spans="1:12">
      <c r="B30" s="71"/>
      <c r="C30" s="9"/>
      <c r="D30" s="9"/>
      <c r="E30" s="247" t="s">
        <v>664</v>
      </c>
      <c r="F30" s="266"/>
      <c r="G30" s="2">
        <f>($K$15/5)*2</f>
        <v>0</v>
      </c>
      <c r="H30" s="239">
        <f>$I$29*G30*1.2</f>
        <v>0</v>
      </c>
      <c r="I30" s="227"/>
    </row>
    <row r="31" spans="1:12">
      <c r="B31" s="71"/>
      <c r="C31" s="9"/>
      <c r="D31" s="9"/>
      <c r="E31" s="247" t="s">
        <v>522</v>
      </c>
      <c r="F31" s="266"/>
      <c r="G31" s="2">
        <f>($K$15/5)*3</f>
        <v>0</v>
      </c>
      <c r="H31" s="239">
        <f>$I$29*G31*1.2</f>
        <v>0</v>
      </c>
      <c r="I31" s="227"/>
    </row>
    <row r="32" spans="1:12">
      <c r="D32" s="9"/>
      <c r="E32" s="249" t="s">
        <v>665</v>
      </c>
      <c r="F32" s="268"/>
      <c r="G32" s="73">
        <f>SUM(G30:G31)</f>
        <v>0</v>
      </c>
      <c r="H32" s="269">
        <f>SUM(H30:I31)</f>
        <v>0</v>
      </c>
      <c r="I32" s="270"/>
    </row>
    <row r="33" spans="1:12">
      <c r="D33" s="9"/>
      <c r="E33" s="9"/>
      <c r="F33" s="9"/>
    </row>
    <row r="34" spans="1:12">
      <c r="B34" s="71"/>
      <c r="C34" s="4">
        <v>3</v>
      </c>
      <c r="D34" s="9" t="s">
        <v>666</v>
      </c>
      <c r="E34" s="9"/>
      <c r="F34" s="9"/>
    </row>
    <row r="35" spans="1:12" ht="57.6">
      <c r="D35" s="9"/>
      <c r="E35" s="255" t="s">
        <v>667</v>
      </c>
      <c r="F35" s="265"/>
      <c r="G35" s="38" t="s">
        <v>668</v>
      </c>
      <c r="H35" s="38" t="s">
        <v>669</v>
      </c>
      <c r="I35" s="120">
        <v>1</v>
      </c>
    </row>
    <row r="36" spans="1:12">
      <c r="B36" s="71"/>
      <c r="C36" s="9"/>
      <c r="D36" s="9"/>
      <c r="E36" s="247" t="s">
        <v>658</v>
      </c>
      <c r="F36" s="266"/>
      <c r="G36" s="2">
        <v>1920</v>
      </c>
      <c r="H36" s="239">
        <f>$I$35*G36*1.5</f>
        <v>2880</v>
      </c>
      <c r="I36" s="244"/>
    </row>
    <row r="37" spans="1:12">
      <c r="B37" s="71"/>
      <c r="C37" s="9"/>
      <c r="D37" s="9"/>
      <c r="E37" s="247" t="s">
        <v>547</v>
      </c>
      <c r="F37" s="266"/>
      <c r="G37" s="2">
        <v>480</v>
      </c>
      <c r="H37" s="239">
        <f>$I$35*G37*1.5</f>
        <v>720</v>
      </c>
      <c r="I37" s="244"/>
    </row>
    <row r="38" spans="1:12">
      <c r="C38"/>
      <c r="D38" s="9"/>
      <c r="E38" s="249" t="s">
        <v>548</v>
      </c>
      <c r="F38" s="268"/>
      <c r="G38" s="64">
        <f>SUM(G36:G37)</f>
        <v>2400</v>
      </c>
      <c r="H38" s="251">
        <f>SUM(H36:I37)</f>
        <v>3600</v>
      </c>
      <c r="I38" s="252"/>
    </row>
    <row r="39" spans="1:12" ht="105" customHeight="1">
      <c r="C39" s="261" t="s">
        <v>670</v>
      </c>
      <c r="D39" s="263"/>
      <c r="E39" s="263"/>
      <c r="F39" s="263"/>
      <c r="G39" s="263"/>
      <c r="H39" s="263"/>
      <c r="I39" s="263"/>
      <c r="J39" s="263"/>
      <c r="K39" s="263"/>
      <c r="L39" s="263"/>
    </row>
    <row r="40" spans="1:12">
      <c r="D40" s="9"/>
      <c r="E40" s="9"/>
      <c r="F40" s="9"/>
    </row>
    <row r="41" spans="1:12">
      <c r="B41" s="71"/>
      <c r="C41" s="4">
        <v>4</v>
      </c>
      <c r="D41" s="9" t="s">
        <v>537</v>
      </c>
      <c r="E41" s="9"/>
      <c r="F41" s="9"/>
    </row>
    <row r="42" spans="1:12">
      <c r="B42" s="71"/>
      <c r="C42" s="4">
        <v>5</v>
      </c>
      <c r="D42" s="9" t="s">
        <v>538</v>
      </c>
      <c r="E42" s="9"/>
      <c r="F42" s="9"/>
    </row>
    <row r="43" spans="1:12">
      <c r="B43" s="71"/>
      <c r="D43" s="9" t="s">
        <v>671</v>
      </c>
      <c r="E43" s="9"/>
      <c r="F43" s="9"/>
    </row>
    <row r="44" spans="1:12">
      <c r="D44" s="9"/>
      <c r="E44" s="9"/>
      <c r="F44" s="9"/>
    </row>
    <row r="45" spans="1:12" ht="18">
      <c r="A45" s="201" t="s">
        <v>672</v>
      </c>
      <c r="B45" s="235"/>
      <c r="C45" s="235"/>
      <c r="D45" s="235"/>
      <c r="E45" s="235"/>
      <c r="F45" s="235"/>
      <c r="G45" s="235"/>
      <c r="H45" s="235"/>
      <c r="I45" s="235"/>
      <c r="J45" s="235"/>
      <c r="K45" s="235"/>
      <c r="L45" s="235"/>
    </row>
    <row r="46" spans="1:12">
      <c r="C46" s="8"/>
    </row>
    <row r="47" spans="1:12">
      <c r="C47" s="8" t="s">
        <v>673</v>
      </c>
    </row>
    <row r="48" spans="1:12">
      <c r="C48" s="8"/>
    </row>
    <row r="49" spans="2:12">
      <c r="B49" s="71"/>
      <c r="C49" s="4">
        <v>1</v>
      </c>
      <c r="D49" s="9" t="str">
        <f>"Napipetujte "&amp;(G32*I29)&amp;" μl zředěných Purification Beads do 1,5ml zkumavky."</f>
        <v>Napipetujte 0 μl zředěných Purification Beads do 1,5ml zkumavky.</v>
      </c>
      <c r="E49" s="9"/>
      <c r="F49" s="9"/>
    </row>
    <row r="50" spans="2:12" ht="29.55" customHeight="1">
      <c r="B50" s="71"/>
      <c r="C50" s="70">
        <v>2</v>
      </c>
      <c r="D50" s="212" t="str">
        <f>"Pipetou promíchejte Tagmentation Beads a supernatant v indexing PCR nebo protřepejte destičku s indexing PCR (1 minuta při 1800 ot./min) a poté přidejte  "&amp;K14&amp;" μl každého vzorku do zkumavky obsahující zředěné Purification Beads."</f>
        <v>Pipetou promíchejte Tagmentation Beads a supernatant v indexing PCR nebo protřepejte destičku s indexing PCR (1 minuta při 1800 ot./min) a poté přidejte  0 μl každého vzorku do zkumavky obsahující zředěné Purification Beads.</v>
      </c>
      <c r="E50" s="215"/>
      <c r="F50" s="215"/>
      <c r="G50" s="215"/>
      <c r="H50" s="215"/>
      <c r="I50" s="215"/>
      <c r="J50" s="215"/>
      <c r="K50" s="215"/>
      <c r="L50" s="215"/>
    </row>
    <row r="51" spans="2:12">
      <c r="B51" s="71"/>
      <c r="C51" s="15">
        <v>3</v>
      </c>
      <c r="D51" s="9" t="s">
        <v>674</v>
      </c>
    </row>
    <row r="52" spans="2:12">
      <c r="B52" s="71"/>
      <c r="C52" s="15">
        <v>4</v>
      </c>
      <c r="D52" s="4" t="s">
        <v>675</v>
      </c>
    </row>
    <row r="53" spans="2:12">
      <c r="B53" s="71"/>
      <c r="C53" s="15">
        <v>5</v>
      </c>
      <c r="D53" s="9" t="s">
        <v>676</v>
      </c>
    </row>
    <row r="54" spans="2:12">
      <c r="B54" s="71"/>
      <c r="C54" s="15">
        <v>6</v>
      </c>
      <c r="D54" s="4" t="s">
        <v>677</v>
      </c>
    </row>
    <row r="55" spans="2:12">
      <c r="B55" s="71"/>
      <c r="C55" s="15">
        <v>7</v>
      </c>
      <c r="D55" s="4" t="str">
        <f>"Přeneste "&amp;(K13*K16)&amp;" μl supernatantu do nové zkumavky."</f>
        <v>Přeneste 0 μl supernatantu do nové zkumavky.</v>
      </c>
    </row>
    <row r="56" spans="2:12">
      <c r="B56" s="71"/>
      <c r="C56" s="15">
        <v>8</v>
      </c>
      <c r="D56" s="4" t="str">
        <f>"Přidejte "&amp;(K13*K17)&amp;" μl Purification Beads (neředěných) do zkumavky obsahující supernatant."</f>
        <v>Přidejte 0 μl Purification Beads (neředěných) do zkumavky obsahující supernatant.</v>
      </c>
    </row>
    <row r="57" spans="2:12">
      <c r="B57" s="71"/>
      <c r="C57" s="15">
        <v>9</v>
      </c>
      <c r="D57" s="9" t="s">
        <v>678</v>
      </c>
    </row>
    <row r="58" spans="2:12">
      <c r="B58" s="71"/>
      <c r="C58" s="15">
        <v>10</v>
      </c>
      <c r="D58" s="4" t="s">
        <v>679</v>
      </c>
    </row>
    <row r="59" spans="2:12">
      <c r="B59" s="71"/>
      <c r="C59" s="15">
        <v>11</v>
      </c>
      <c r="D59" s="9" t="s">
        <v>676</v>
      </c>
    </row>
    <row r="60" spans="2:12">
      <c r="B60" s="71"/>
      <c r="C60" s="15">
        <v>12</v>
      </c>
      <c r="D60" s="4" t="s">
        <v>680</v>
      </c>
    </row>
    <row r="61" spans="2:12">
      <c r="B61" s="71"/>
      <c r="C61" s="15">
        <v>13</v>
      </c>
      <c r="D61" s="9" t="s">
        <v>681</v>
      </c>
    </row>
    <row r="62" spans="2:12">
      <c r="B62" s="71"/>
      <c r="C62" s="15">
        <v>14</v>
      </c>
      <c r="D62" s="4" t="s">
        <v>682</v>
      </c>
    </row>
    <row r="63" spans="2:12">
      <c r="B63" s="84"/>
      <c r="C63" s="84"/>
      <c r="D63" s="32" t="s">
        <v>555</v>
      </c>
      <c r="E63" s="4" t="s">
        <v>683</v>
      </c>
    </row>
    <row r="64" spans="2:12">
      <c r="B64" s="71"/>
      <c r="C64" s="71"/>
      <c r="D64" s="32" t="s">
        <v>556</v>
      </c>
      <c r="E64" s="4" t="s">
        <v>684</v>
      </c>
    </row>
    <row r="65" spans="1:12">
      <c r="B65" s="71"/>
      <c r="C65" s="71"/>
      <c r="D65" s="32" t="s">
        <v>579</v>
      </c>
      <c r="E65" s="4" t="s">
        <v>685</v>
      </c>
    </row>
    <row r="66" spans="1:12">
      <c r="B66" s="71"/>
      <c r="C66" s="9"/>
      <c r="D66" s="32" t="s">
        <v>581</v>
      </c>
      <c r="E66" s="4" t="str">
        <f>"Opakujte kroky  "&amp;D63&amp;" až "&amp;D65&amp;" tak, aby proběhla celkem 2 promytí."</f>
        <v>Opakujte kroky  a) až c) tak, aby proběhla celkem 2 promytí.</v>
      </c>
    </row>
    <row r="67" spans="1:12">
      <c r="B67" s="71"/>
      <c r="C67" s="15">
        <v>15</v>
      </c>
      <c r="D67" s="4" t="s">
        <v>686</v>
      </c>
    </row>
    <row r="68" spans="1:12">
      <c r="B68" s="86"/>
      <c r="C68" s="15">
        <v>16</v>
      </c>
      <c r="D68" s="4" t="s">
        <v>687</v>
      </c>
    </row>
    <row r="69" spans="1:12">
      <c r="B69" s="71"/>
      <c r="C69" s="15">
        <v>17</v>
      </c>
      <c r="D69" s="4" t="s">
        <v>688</v>
      </c>
    </row>
    <row r="70" spans="1:12">
      <c r="B70" s="71"/>
      <c r="C70" s="15">
        <v>18</v>
      </c>
      <c r="D70" s="9" t="s">
        <v>689</v>
      </c>
    </row>
    <row r="71" spans="1:12">
      <c r="B71" s="71"/>
      <c r="C71" s="15">
        <v>19</v>
      </c>
      <c r="D71" s="4" t="s">
        <v>690</v>
      </c>
    </row>
    <row r="72" spans="1:12">
      <c r="B72" s="71"/>
      <c r="C72" s="15">
        <v>20</v>
      </c>
      <c r="D72" s="9" t="s">
        <v>676</v>
      </c>
    </row>
    <row r="73" spans="1:12">
      <c r="B73" s="71"/>
      <c r="C73" s="15">
        <v>21</v>
      </c>
      <c r="D73" s="4" t="s">
        <v>691</v>
      </c>
    </row>
    <row r="74" spans="1:12">
      <c r="B74" s="71"/>
      <c r="C74" s="15">
        <v>22</v>
      </c>
      <c r="D74" s="189" t="s">
        <v>692</v>
      </c>
    </row>
    <row r="75" spans="1:12">
      <c r="B75"/>
      <c r="C75" s="15"/>
      <c r="D75" s="9"/>
      <c r="E75" s="9"/>
      <c r="F75" s="9"/>
    </row>
    <row r="76" spans="1:12" s="20" customFormat="1">
      <c r="C76" s="8" t="s">
        <v>693</v>
      </c>
      <c r="D76" s="4"/>
      <c r="E76" s="4"/>
      <c r="F76" s="4"/>
    </row>
    <row r="77" spans="1:12">
      <c r="C77" s="9"/>
      <c r="E77" s="9"/>
      <c r="F77" s="9"/>
    </row>
    <row r="78" spans="1:12">
      <c r="B78" s="67" t="s">
        <v>631</v>
      </c>
      <c r="C78" s="68"/>
      <c r="D78" s="68"/>
      <c r="E78" s="68"/>
      <c r="F78" s="71"/>
    </row>
    <row r="79" spans="1:12">
      <c r="D79" s="9"/>
      <c r="E79" s="9"/>
      <c r="F79" s="9"/>
    </row>
    <row r="80" spans="1:12" ht="36" customHeight="1">
      <c r="A80" s="267" t="s">
        <v>694</v>
      </c>
      <c r="B80" s="235"/>
      <c r="C80" s="235"/>
      <c r="D80" s="235"/>
      <c r="E80" s="235"/>
      <c r="F80" s="235"/>
      <c r="G80" s="235"/>
      <c r="H80" s="235"/>
      <c r="I80" s="235"/>
      <c r="J80" s="235"/>
      <c r="K80" s="235"/>
      <c r="L80" s="235"/>
    </row>
  </sheetData>
  <sheetProtection algorithmName="SHA-512" hashValue="BqU3GmW5EngYCnF9/OFzbui9VePMCrR21BUI0qweWtfJmfjOLYDnqACkWNuCMbqQZ3XNiUehdVFLXmhXYXfvLw==" saltValue="7FCAuulnBCOGAQ+0JppY/w==" spinCount="100000" sheet="1" objects="1" scenarios="1"/>
  <mergeCells count="47">
    <mergeCell ref="K16:L16"/>
    <mergeCell ref="K17:L17"/>
    <mergeCell ref="C16:G16"/>
    <mergeCell ref="C17:G17"/>
    <mergeCell ref="A8:L8"/>
    <mergeCell ref="K12:L12"/>
    <mergeCell ref="K13:L13"/>
    <mergeCell ref="K14:L14"/>
    <mergeCell ref="K15:L15"/>
    <mergeCell ref="C12:G12"/>
    <mergeCell ref="C13:G13"/>
    <mergeCell ref="C14:G14"/>
    <mergeCell ref="C15:G15"/>
    <mergeCell ref="C10:L10"/>
    <mergeCell ref="D50:L50"/>
    <mergeCell ref="A80:L80"/>
    <mergeCell ref="A45:L45"/>
    <mergeCell ref="A1:L1"/>
    <mergeCell ref="B3:E3"/>
    <mergeCell ref="B4:E4"/>
    <mergeCell ref="B5:E5"/>
    <mergeCell ref="A19:L19"/>
    <mergeCell ref="E38:F38"/>
    <mergeCell ref="E31:F31"/>
    <mergeCell ref="E32:F32"/>
    <mergeCell ref="E35:F35"/>
    <mergeCell ref="E36:F36"/>
    <mergeCell ref="E37:F37"/>
    <mergeCell ref="J26:K26"/>
    <mergeCell ref="H32:I32"/>
    <mergeCell ref="J23:K23"/>
    <mergeCell ref="J24:K24"/>
    <mergeCell ref="J25:K25"/>
    <mergeCell ref="E22:F22"/>
    <mergeCell ref="E23:F23"/>
    <mergeCell ref="E24:F24"/>
    <mergeCell ref="E25:F25"/>
    <mergeCell ref="C39:L39"/>
    <mergeCell ref="J29:L29"/>
    <mergeCell ref="E26:F26"/>
    <mergeCell ref="E29:F29"/>
    <mergeCell ref="E30:F30"/>
    <mergeCell ref="H38:I38"/>
    <mergeCell ref="H30:I30"/>
    <mergeCell ref="H31:I31"/>
    <mergeCell ref="H36:I36"/>
    <mergeCell ref="H37:I37"/>
  </mergeCells>
  <pageMargins left="0.70866141732283472" right="0.70866141732283472" top="0.74803149606299213" bottom="0.74803149606299213" header="0.31496062992125984" footer="0.31496062992125984"/>
  <pageSetup paperSize="9" scale="63" fitToHeight="0" orientation="portrait" r:id="rId1"/>
  <headerFooter>
    <oddHeader>&amp;R&amp;G</oddHeader>
    <oddFooter>&amp;L&amp;8Version: 1.0&amp;C&amp;8&amp;P of &amp;N&amp;R&amp;8Revidováno: září 2023</oddFooter>
  </headerFooter>
  <ignoredErrors>
    <ignoredError sqref="I29 L13 K14:L14 K13" unlockedFormula="1"/>
    <ignoredError sqref="H13:H17" numberStoredAsText="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1EEAACE3821444B59FA4555CBE0D20" ma:contentTypeVersion="15" ma:contentTypeDescription="Create a new document." ma:contentTypeScope="" ma:versionID="669e1fa86573c2544d7925e90e2e04fe">
  <xsd:schema xmlns:xsd="http://www.w3.org/2001/XMLSchema" xmlns:xs="http://www.w3.org/2001/XMLSchema" xmlns:p="http://schemas.microsoft.com/office/2006/metadata/properties" xmlns:ns2="19652d69-c9e5-4307-8d55-0b16fe8f65ec" xmlns:ns3="1dad0a9d-2217-47f9-bb8c-1d54d2bc0604" targetNamespace="http://schemas.microsoft.com/office/2006/metadata/properties" ma:root="true" ma:fieldsID="2328f0d795b1905e270ff9a80cda3c50" ns2:_="" ns3:_="">
    <xsd:import namespace="19652d69-c9e5-4307-8d55-0b16fe8f65ec"/>
    <xsd:import namespace="1dad0a9d-2217-47f9-bb8c-1d54d2bc060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652d69-c9e5-4307-8d55-0b16fe8f65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Location" ma:index="14" nillable="true" ma:displayName="Location" ma:indexed="true"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6dac421-00b0-4938-8d20-32e3dc72a30e"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ad0a9d-2217-47f9-bb8c-1d54d2bc060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60a0fcca-4b0f-4d63-b579-3119d440c2d6}" ma:internalName="TaxCatchAll" ma:showField="CatchAllData" ma:web="1dad0a9d-2217-47f9-bb8c-1d54d2bc06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9652d69-c9e5-4307-8d55-0b16fe8f65ec">
      <Terms xmlns="http://schemas.microsoft.com/office/infopath/2007/PartnerControls"/>
    </lcf76f155ced4ddcb4097134ff3c332f>
    <TaxCatchAll xmlns="1dad0a9d-2217-47f9-bb8c-1d54d2bc0604" xsi:nil="true"/>
    <SharedWithUsers xmlns="1dad0a9d-2217-47f9-bb8c-1d54d2bc0604">
      <UserInfo>
        <DisplayName>Maria Ilar</DisplayName>
        <AccountId>66</AccountId>
        <AccountType/>
      </UserInfo>
    </SharedWithUsers>
  </documentManagement>
</p:properties>
</file>

<file path=customXml/itemProps1.xml><?xml version="1.0" encoding="utf-8"?>
<ds:datastoreItem xmlns:ds="http://schemas.openxmlformats.org/officeDocument/2006/customXml" ds:itemID="{D1F5A493-5D93-4A71-A10C-C9B6CB35F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652d69-c9e5-4307-8d55-0b16fe8f65ec"/>
    <ds:schemaRef ds:uri="1dad0a9d-2217-47f9-bb8c-1d54d2bc06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85B8E6-110F-441E-867A-B01F2F472766}">
  <ds:schemaRefs>
    <ds:schemaRef ds:uri="http://schemas.microsoft.com/sharepoint/v3/contenttype/forms"/>
  </ds:schemaRefs>
</ds:datastoreItem>
</file>

<file path=customXml/itemProps3.xml><?xml version="1.0" encoding="utf-8"?>
<ds:datastoreItem xmlns:ds="http://schemas.openxmlformats.org/officeDocument/2006/customXml" ds:itemID="{2B3C2F78-355A-467A-AFEC-44D93102501C}">
  <ds:schemaRefs>
    <ds:schemaRef ds:uri="http://schemas.microsoft.com/office/2006/metadata/properties"/>
    <ds:schemaRef ds:uri="http://purl.org/dc/dcmitype/"/>
    <ds:schemaRef ds:uri="1dad0a9d-2217-47f9-bb8c-1d54d2bc0604"/>
    <ds:schemaRef ds:uri="http://www.w3.org/XML/1998/namespace"/>
    <ds:schemaRef ds:uri="http://schemas.openxmlformats.org/package/2006/metadata/core-properties"/>
    <ds:schemaRef ds:uri="19652d69-c9e5-4307-8d55-0b16fe8f65ec"/>
    <ds:schemaRef ds:uri="http://purl.org/dc/terms/"/>
    <ds:schemaRef ds:uri="http://schemas.microsoft.com/office/2006/documentManagement/typ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22</vt:i4>
      </vt:variant>
    </vt:vector>
  </HeadingPairs>
  <TitlesOfParts>
    <vt:vector size="43" baseType="lpstr">
      <vt:lpstr>CE Cover</vt:lpstr>
      <vt:lpstr>DropDowns</vt:lpstr>
      <vt:lpstr>IndexLayout</vt:lpstr>
      <vt:lpstr>0.1 Import</vt:lpstr>
      <vt:lpstr>1.0 Sample_Prep</vt:lpstr>
      <vt:lpstr>1.1 LinearView</vt:lpstr>
      <vt:lpstr>1.2 SampleSheet</vt:lpstr>
      <vt:lpstr>2.0 Library_Prep</vt:lpstr>
      <vt:lpstr>3.0 SS_Purification</vt:lpstr>
      <vt:lpstr>4.0 Hybridisation</vt:lpstr>
      <vt:lpstr>5.0 Capture</vt:lpstr>
      <vt:lpstr>6.0 Enrich_PCR</vt:lpstr>
      <vt:lpstr>7.0 Purification</vt:lpstr>
      <vt:lpstr>8.0 Qubit</vt:lpstr>
      <vt:lpstr>9.0 TapeStation(Optional)</vt:lpstr>
      <vt:lpstr>10.0 PhiX</vt:lpstr>
      <vt:lpstr>10.1 MiSeq</vt:lpstr>
      <vt:lpstr>10.2 MiniSeq</vt:lpstr>
      <vt:lpstr>10.3 iSeq</vt:lpstr>
      <vt:lpstr>VersionHistory</vt:lpstr>
      <vt:lpstr>WorkbookVerification</vt:lpstr>
      <vt:lpstr>Kits</vt:lpstr>
      <vt:lpstr>'1.0 Sample_Prep'!Print_Area</vt:lpstr>
      <vt:lpstr>'1.1 LinearView'!Print_Area</vt:lpstr>
      <vt:lpstr>'1.2 SampleSheet'!Print_Area</vt:lpstr>
      <vt:lpstr>'10.0 PhiX'!Print_Area</vt:lpstr>
      <vt:lpstr>'10.1 MiSeq'!Print_Area</vt:lpstr>
      <vt:lpstr>'10.2 MiniSeq'!Print_Area</vt:lpstr>
      <vt:lpstr>'10.3 iSeq'!Print_Area</vt:lpstr>
      <vt:lpstr>'2.0 Library_Prep'!Print_Area</vt:lpstr>
      <vt:lpstr>'3.0 SS_Purification'!Print_Area</vt:lpstr>
      <vt:lpstr>'5.0 Capture'!Print_Area</vt:lpstr>
      <vt:lpstr>'6.0 Enrich_PCR'!Print_Area</vt:lpstr>
      <vt:lpstr>'7.0 Purification'!Print_Area</vt:lpstr>
      <vt:lpstr>'8.0 Qubit'!Print_Area</vt:lpstr>
      <vt:lpstr>'9.0 TapeStation(Optional)'!Print_Area</vt:lpstr>
      <vt:lpstr>'CE Cover'!Print_Area</vt:lpstr>
      <vt:lpstr>VersionHistory!Print_Area</vt:lpstr>
      <vt:lpstr>WorkbookVerification!Print_Area</vt:lpstr>
      <vt:lpstr>'1.1 LinearView'!Print_Titles</vt:lpstr>
      <vt:lpstr>VersionHistory!Print_Titles</vt:lpstr>
      <vt:lpstr>WorkbookVerification!Print_Titles</vt:lpstr>
      <vt:lpstr>Vyberte</vt:lpstr>
    </vt:vector>
  </TitlesOfParts>
  <Manager/>
  <Company>CareDx Pty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IFU095-5-CS _AlloSeq Tx Early Pooling Workbook CE IVD-CS</dc:title>
  <dc:subject/>
  <dc:creator>hayley</dc:creator>
  <cp:keywords>1.0</cp:keywords>
  <dc:description>Draft</dc:description>
  <cp:lastModifiedBy>Hira Meraj (C)</cp:lastModifiedBy>
  <cp:revision/>
  <cp:lastPrinted>2024-03-21T08:10:35Z</cp:lastPrinted>
  <dcterms:created xsi:type="dcterms:W3CDTF">2018-07-19T05:07:37Z</dcterms:created>
  <dcterms:modified xsi:type="dcterms:W3CDTF">2024-03-21T08:20:40Z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0x010100081EEAACE3821444B59FA4555CBE0D20</vt:lpwstr>
  </property>
  <property fmtid="{D5CDD505-2E9C-101B-9397-08002B2CF9AE}" pid="3" name="MediaServiceImageTags">
    <vt:lpwstr/>
  </property>
</Properties>
</file>